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or.balazs\Desktop\Pay\Weboldalra\"/>
    </mc:Choice>
  </mc:AlternateContent>
  <bookViews>
    <workbookView xWindow="0" yWindow="0" windowWidth="23040" windowHeight="9096"/>
  </bookViews>
  <sheets>
    <sheet name="Támogatáshoz kalkuláció" sheetId="1" r:id="rId1"/>
    <sheet name="KÉRELEMBEN SZEREPLŐ TÁBLÁZATOK" sheetId="4" r:id="rId2"/>
    <sheet name="Segéd" sheetId="3" state="hidden" r:id="rId3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4" l="1"/>
  <c r="D2" i="4" l="1"/>
  <c r="H2" i="4" s="1"/>
  <c r="C2" i="4"/>
  <c r="B2" i="4"/>
  <c r="E2" i="4" l="1"/>
  <c r="G2" i="4"/>
  <c r="D8" i="1" l="1"/>
  <c r="A13" i="1" l="1"/>
  <c r="D7" i="1"/>
  <c r="H25" i="1"/>
  <c r="C13" i="1"/>
  <c r="D13" i="1" s="1"/>
  <c r="E13" i="1" s="1"/>
  <c r="F13" i="1" s="1"/>
  <c r="G13" i="1" s="1"/>
  <c r="C12" i="1"/>
  <c r="D12" i="1" s="1"/>
  <c r="E12" i="1" s="1"/>
  <c r="F12" i="1" s="1"/>
  <c r="G12" i="1" s="1"/>
  <c r="T12" i="1" l="1"/>
  <c r="T13" i="1"/>
  <c r="M9" i="1" l="1"/>
  <c r="Q9" i="1" s="1"/>
  <c r="Q10" i="1" s="1"/>
  <c r="L9" i="1"/>
  <c r="P9" i="1" s="1"/>
  <c r="P10" i="1" s="1"/>
  <c r="K9" i="1"/>
  <c r="O9" i="1" s="1"/>
  <c r="O10" i="1" s="1"/>
  <c r="C10" i="1"/>
  <c r="D10" i="1" s="1"/>
  <c r="E10" i="1" s="1"/>
  <c r="F10" i="1" s="1"/>
  <c r="G10" i="1" s="1"/>
  <c r="T10" i="1" s="1"/>
  <c r="B21" i="1" l="1"/>
  <c r="A2" i="4" s="1"/>
  <c r="I2" i="4" s="1"/>
  <c r="B20" i="1"/>
  <c r="B31" i="1" s="1"/>
  <c r="B14" i="1"/>
  <c r="B6" i="3"/>
  <c r="B5" i="3"/>
  <c r="B4" i="3"/>
  <c r="B3" i="3"/>
  <c r="B2" i="3"/>
  <c r="B1" i="3"/>
  <c r="B7" i="3"/>
  <c r="G25" i="1" l="1"/>
  <c r="E25" i="1"/>
  <c r="B24" i="1"/>
  <c r="B42" i="1"/>
  <c r="B36" i="1"/>
  <c r="B37" i="1"/>
  <c r="B38" i="1"/>
  <c r="B39" i="1"/>
  <c r="B40" i="1"/>
  <c r="B30" i="1"/>
  <c r="B41" i="1"/>
  <c r="K14" i="1"/>
  <c r="J14" i="1"/>
  <c r="B27" i="1"/>
  <c r="B35" i="1" s="1"/>
  <c r="B28" i="1"/>
  <c r="B29" i="1"/>
  <c r="B33" i="1"/>
  <c r="B32" i="1"/>
  <c r="B17" i="1"/>
  <c r="B18" i="1" s="1"/>
  <c r="B43" i="1" l="1"/>
  <c r="B34" i="1"/>
  <c r="L14" i="1" l="1"/>
  <c r="D14" i="1"/>
  <c r="E14" i="1" s="1"/>
  <c r="F14" i="1" s="1"/>
  <c r="G14" i="1" s="1"/>
  <c r="D11" i="1"/>
  <c r="C11" i="1" s="1"/>
  <c r="C21" i="1" s="1"/>
  <c r="H21" i="1" l="1"/>
  <c r="J20" i="1"/>
  <c r="S7" i="1"/>
  <c r="E9" i="1"/>
  <c r="F9" i="1" s="1"/>
  <c r="G9" i="1" s="1"/>
  <c r="H11" i="1"/>
  <c r="C26" i="1" s="1"/>
  <c r="E11" i="1"/>
  <c r="C14" i="1"/>
  <c r="C15" i="1" s="1"/>
  <c r="C17" i="1" s="1"/>
  <c r="C18" i="1" s="1"/>
  <c r="D21" i="1"/>
  <c r="C16" i="1" l="1"/>
  <c r="J15" i="1"/>
  <c r="D15" i="1" s="1"/>
  <c r="H14" i="1"/>
  <c r="E6" i="1" s="1"/>
  <c r="E26" i="1" s="1"/>
  <c r="E23" i="1" s="1"/>
  <c r="J23" i="1"/>
  <c r="L23" i="1"/>
  <c r="D26" i="1"/>
  <c r="D23" i="1" s="1"/>
  <c r="J2" i="4" s="1"/>
  <c r="C23" i="1"/>
  <c r="C22" i="1" s="1"/>
  <c r="K23" i="1"/>
  <c r="F11" i="1"/>
  <c r="E21" i="1"/>
  <c r="C24" i="1" l="1"/>
  <c r="C25" i="1" s="1"/>
  <c r="C19" i="1"/>
  <c r="C20" i="1" s="1"/>
  <c r="D22" i="1"/>
  <c r="F6" i="1"/>
  <c r="G6" i="1"/>
  <c r="G26" i="1" s="1"/>
  <c r="G23" i="1" s="1"/>
  <c r="H26" i="1"/>
  <c r="D17" i="1"/>
  <c r="D18" i="1" s="1"/>
  <c r="I17" i="1"/>
  <c r="J17" i="1" s="1"/>
  <c r="G11" i="1"/>
  <c r="F21" i="1"/>
  <c r="E22" i="1"/>
  <c r="E19" i="1" s="1"/>
  <c r="E20" i="1" s="1"/>
  <c r="E15" i="1"/>
  <c r="D16" i="1"/>
  <c r="F25" i="1" l="1"/>
  <c r="D24" i="1"/>
  <c r="D25" i="1" s="1"/>
  <c r="D19" i="1"/>
  <c r="D20" i="1" s="1"/>
  <c r="F26" i="1"/>
  <c r="F23" i="1" s="1"/>
  <c r="F22" i="1" s="1"/>
  <c r="F19" i="1" s="1"/>
  <c r="F20" i="1" s="1"/>
  <c r="S25" i="1"/>
  <c r="S9" i="1"/>
  <c r="S11" i="1"/>
  <c r="S26" i="1"/>
  <c r="S23" i="1"/>
  <c r="S10" i="1"/>
  <c r="S14" i="1"/>
  <c r="E16" i="1"/>
  <c r="F15" i="1"/>
  <c r="E24" i="1"/>
  <c r="C31" i="1"/>
  <c r="D31" i="1" s="1"/>
  <c r="E31" i="1" s="1"/>
  <c r="F31" i="1" s="1"/>
  <c r="G31" i="1" s="1"/>
  <c r="S31" i="1" s="1"/>
  <c r="C41" i="1"/>
  <c r="D41" i="1" s="1"/>
  <c r="E41" i="1" s="1"/>
  <c r="F41" i="1" s="1"/>
  <c r="G41" i="1" s="1"/>
  <c r="S41" i="1" s="1"/>
  <c r="C32" i="1"/>
  <c r="D32" i="1" s="1"/>
  <c r="E32" i="1" s="1"/>
  <c r="F32" i="1" s="1"/>
  <c r="G32" i="1" s="1"/>
  <c r="S32" i="1" s="1"/>
  <c r="C27" i="1"/>
  <c r="C35" i="1" s="1"/>
  <c r="C42" i="1"/>
  <c r="D42" i="1" s="1"/>
  <c r="E42" i="1" s="1"/>
  <c r="F42" i="1" s="1"/>
  <c r="G42" i="1" s="1"/>
  <c r="S42" i="1" s="1"/>
  <c r="C29" i="1"/>
  <c r="D29" i="1" s="1"/>
  <c r="E29" i="1" s="1"/>
  <c r="F29" i="1" s="1"/>
  <c r="G29" i="1" s="1"/>
  <c r="S29" i="1" s="1"/>
  <c r="K20" i="1"/>
  <c r="L20" i="1" s="1"/>
  <c r="M20" i="1" s="1"/>
  <c r="C39" i="1"/>
  <c r="D39" i="1" s="1"/>
  <c r="E39" i="1" s="1"/>
  <c r="F39" i="1" s="1"/>
  <c r="G39" i="1" s="1"/>
  <c r="S39" i="1" s="1"/>
  <c r="C37" i="1"/>
  <c r="D37" i="1" s="1"/>
  <c r="E37" i="1" s="1"/>
  <c r="F37" i="1" s="1"/>
  <c r="G37" i="1" s="1"/>
  <c r="S37" i="1" s="1"/>
  <c r="C30" i="1"/>
  <c r="D30" i="1" s="1"/>
  <c r="E30" i="1" s="1"/>
  <c r="F30" i="1" s="1"/>
  <c r="G30" i="1" s="1"/>
  <c r="S30" i="1" s="1"/>
  <c r="C28" i="1"/>
  <c r="D28" i="1" s="1"/>
  <c r="E28" i="1" s="1"/>
  <c r="F28" i="1" s="1"/>
  <c r="G28" i="1" s="1"/>
  <c r="S28" i="1" s="1"/>
  <c r="C38" i="1"/>
  <c r="D38" i="1" s="1"/>
  <c r="E38" i="1" s="1"/>
  <c r="F38" i="1" s="1"/>
  <c r="G38" i="1" s="1"/>
  <c r="S38" i="1" s="1"/>
  <c r="C33" i="1"/>
  <c r="D33" i="1" s="1"/>
  <c r="E33" i="1" s="1"/>
  <c r="F33" i="1" s="1"/>
  <c r="G33" i="1" s="1"/>
  <c r="S33" i="1" s="1"/>
  <c r="C40" i="1"/>
  <c r="D40" i="1" s="1"/>
  <c r="E40" i="1" s="1"/>
  <c r="F40" i="1" s="1"/>
  <c r="G40" i="1" s="1"/>
  <c r="S40" i="1" s="1"/>
  <c r="C36" i="1"/>
  <c r="E17" i="1"/>
  <c r="T9" i="1"/>
  <c r="G21" i="1"/>
  <c r="C44" i="1" l="1"/>
  <c r="T14" i="1"/>
  <c r="T17" i="1" s="1"/>
  <c r="T18" i="1" s="1"/>
  <c r="T11" i="1"/>
  <c r="T21" i="1" s="1"/>
  <c r="G22" i="1"/>
  <c r="S21" i="1"/>
  <c r="C43" i="1"/>
  <c r="D43" i="1" s="1"/>
  <c r="E43" i="1" s="1"/>
  <c r="F43" i="1" s="1"/>
  <c r="G43" i="1" s="1"/>
  <c r="S43" i="1" s="1"/>
  <c r="D36" i="1"/>
  <c r="E36" i="1" s="1"/>
  <c r="F36" i="1" s="1"/>
  <c r="G36" i="1" s="1"/>
  <c r="S36" i="1" s="1"/>
  <c r="G15" i="1"/>
  <c r="F16" i="1"/>
  <c r="E18" i="1"/>
  <c r="F17" i="1"/>
  <c r="D27" i="1"/>
  <c r="C34" i="1"/>
  <c r="D34" i="1" s="1"/>
  <c r="E34" i="1" s="1"/>
  <c r="F34" i="1" s="1"/>
  <c r="G34" i="1" s="1"/>
  <c r="S34" i="1" s="1"/>
  <c r="F24" i="1"/>
  <c r="D35" i="1" l="1"/>
  <c r="D44" i="1" s="1"/>
  <c r="T20" i="1"/>
  <c r="T24" i="1"/>
  <c r="T25" i="1" s="1"/>
  <c r="E27" i="1"/>
  <c r="F27" i="1" s="1"/>
  <c r="F18" i="1"/>
  <c r="G17" i="1"/>
  <c r="G16" i="1"/>
  <c r="S16" i="1" s="1"/>
  <c r="S15" i="1"/>
  <c r="G19" i="1"/>
  <c r="S22" i="1"/>
  <c r="G24" i="1"/>
  <c r="S24" i="1" s="1"/>
  <c r="E35" i="1" l="1"/>
  <c r="E44" i="1" s="1"/>
  <c r="T31" i="1"/>
  <c r="T30" i="1"/>
  <c r="T27" i="1"/>
  <c r="T35" i="1" s="1"/>
  <c r="T32" i="1"/>
  <c r="T29" i="1"/>
  <c r="T28" i="1"/>
  <c r="T38" i="1"/>
  <c r="T33" i="1"/>
  <c r="G27" i="1"/>
  <c r="S27" i="1" s="1"/>
  <c r="F35" i="1"/>
  <c r="F44" i="1" s="1"/>
  <c r="G18" i="1"/>
  <c r="S18" i="1" s="1"/>
  <c r="S17" i="1"/>
  <c r="S19" i="1"/>
  <c r="G20" i="1"/>
  <c r="T44" i="1" l="1"/>
  <c r="T34" i="1"/>
  <c r="G35" i="1"/>
  <c r="S20" i="1"/>
  <c r="G44" i="1" l="1"/>
  <c r="S44" i="1" s="1"/>
  <c r="S35" i="1"/>
</calcChain>
</file>

<file path=xl/sharedStrings.xml><?xml version="1.0" encoding="utf-8"?>
<sst xmlns="http://schemas.openxmlformats.org/spreadsheetml/2006/main" count="59" uniqueCount="48">
  <si>
    <t>Módosítótt szerződés</t>
  </si>
  <si>
    <t>Eltérés</t>
  </si>
  <si>
    <t>Bruttó bér</t>
  </si>
  <si>
    <t>Kieső nettó bér</t>
  </si>
  <si>
    <t>Fejlesztési bruttó bér</t>
  </si>
  <si>
    <t>Fejlesztési nettó bér</t>
  </si>
  <si>
    <t>Támogatás mértéke</t>
  </si>
  <si>
    <t>Összes bruttó</t>
  </si>
  <si>
    <t>Szocho</t>
  </si>
  <si>
    <t>Szakképzési</t>
  </si>
  <si>
    <t>SZJA</t>
  </si>
  <si>
    <t>Nyugdíj</t>
  </si>
  <si>
    <t>Összesen államnak fizetendő</t>
  </si>
  <si>
    <t>Napi munkaidő</t>
  </si>
  <si>
    <t>Nettó munkabér</t>
  </si>
  <si>
    <t>természetbeni egészségbiztosítási  járulék</t>
  </si>
  <si>
    <t>pénzbeli egészségbiztosítási járulék</t>
  </si>
  <si>
    <t>munkaerő-piaci járulék</t>
  </si>
  <si>
    <t>Igen</t>
  </si>
  <si>
    <t>Nem</t>
  </si>
  <si>
    <t>Saját jogú nyugdíjas-e</t>
  </si>
  <si>
    <t>Összes megtakarítás</t>
  </si>
  <si>
    <t>Havi munkában töltött fejlesztési idő</t>
  </si>
  <si>
    <t>Összköltség</t>
  </si>
  <si>
    <t>Napi fejlesztéssel töltött idő</t>
  </si>
  <si>
    <t>Módosítótt szerződés Támogatás igénybevétele nélkül</t>
  </si>
  <si>
    <t>Munkavállaló összes nettója</t>
  </si>
  <si>
    <t>A módosítás 30%-os aránnyal</t>
  </si>
  <si>
    <t>A módosítás 40%-os aránnyal</t>
  </si>
  <si>
    <t>A módosítás 50%-os aránnyal</t>
  </si>
  <si>
    <t>2020.03.11-ei megállapodás</t>
  </si>
  <si>
    <t>Minta Péter</t>
  </si>
  <si>
    <t>KIVA-s cég-e?</t>
  </si>
  <si>
    <t>2020.03 havi óraszám</t>
  </si>
  <si>
    <t>Munkavállaló kieső nettó bére</t>
  </si>
  <si>
    <t>Összesen havonta "munkában" töltött idő</t>
  </si>
  <si>
    <t>Összesen naponta "munkában" töltött idő</t>
  </si>
  <si>
    <t>nem</t>
  </si>
  <si>
    <t>Kérelem benyújtásának napján hatályos nettó alapbér</t>
  </si>
  <si>
    <t>A veszélyhelyzet  kihirdetésekor érvényes munkaidő</t>
  </si>
  <si>
    <t>A kérelem beadásakor érvényes munkaidő</t>
  </si>
  <si>
    <t>A támogatás igénybevétele ideje alatt érvényes munkaidő</t>
  </si>
  <si>
    <t>Kieső idő arány</t>
  </si>
  <si>
    <t>Érvényes a munkaidő csökkentés?</t>
  </si>
  <si>
    <t>Befér az időkeret maximumba?</t>
  </si>
  <si>
    <t>Befér az időkeret minimumba?</t>
  </si>
  <si>
    <t>Kieső munkaidőre járó nettó alapbér</t>
  </si>
  <si>
    <t>Támogatás összege*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</si>
</sst>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Ft&quot;;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0.0%"/>
    <numFmt numFmtId="166" formatCode="#,##0\ &quot;Ft&quot;"/>
    <numFmt numFmtId="167" formatCode="&quot;Kerekítés szabályi szerint &quot;0.0%&quot;-kal&quot;"/>
    <numFmt numFmtId="168" formatCode="&quot;az eredeti szerződés &quot;0.0%"/>
    <numFmt numFmtId="169" formatCode="_-* #,##0\ _F_t_-;\-* #,##0\ _F_t_-;_-* &quot;-&quot;??\ _F_t_-;_-@_-"/>
    <numFmt numFmtId="170" formatCode="_-* #,##0.0\ _F_t_-;\-* #,##0.0\ _F_t_-;_-* &quot;-&quot;??\ _F_t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b/>
      <i/>
      <sz val="15"/>
      <name val="Calibri"/>
      <family val="2"/>
      <charset val="238"/>
      <scheme val="minor"/>
    </font>
    <font>
      <i/>
      <sz val="15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i/>
      <sz val="15"/>
      <color theme="8" tint="-0.249977111117893"/>
      <name val="Calibri"/>
      <family val="2"/>
      <charset val="238"/>
      <scheme val="minor"/>
    </font>
    <font>
      <i/>
      <sz val="15"/>
      <color theme="8" tint="-0.249977111117893"/>
      <name val="Calibri"/>
      <family val="2"/>
      <charset val="238"/>
      <scheme val="minor"/>
    </font>
    <font>
      <b/>
      <u/>
      <sz val="15"/>
      <name val="Calibri"/>
      <family val="2"/>
      <charset val="238"/>
      <scheme val="minor"/>
    </font>
    <font>
      <b/>
      <i/>
      <u/>
      <sz val="15"/>
      <color rgb="FFFF0000"/>
      <name val="Calibri"/>
      <family val="2"/>
      <charset val="238"/>
      <scheme val="minor"/>
    </font>
    <font>
      <b/>
      <i/>
      <u/>
      <sz val="15"/>
      <color theme="1"/>
      <name val="Calibri"/>
      <family val="2"/>
      <charset val="238"/>
      <scheme val="minor"/>
    </font>
    <font>
      <i/>
      <u/>
      <sz val="15"/>
      <color theme="1"/>
      <name val="Calibri"/>
      <family val="2"/>
      <charset val="238"/>
      <scheme val="minor"/>
    </font>
    <font>
      <b/>
      <u/>
      <sz val="2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5FBF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5" fontId="4" fillId="3" borderId="1" xfId="1" applyNumberFormat="1" applyFont="1" applyFill="1" applyBorder="1" applyAlignment="1" applyProtection="1">
      <alignment horizontal="center" vertical="center"/>
      <protection locked="0"/>
    </xf>
    <xf numFmtId="5" fontId="5" fillId="0" borderId="1" xfId="1" applyNumberFormat="1" applyFont="1" applyFill="1" applyBorder="1" applyAlignment="1">
      <alignment horizontal="center" vertical="center"/>
    </xf>
    <xf numFmtId="5" fontId="4" fillId="0" borderId="1" xfId="1" applyNumberFormat="1" applyFont="1" applyFill="1" applyBorder="1" applyAlignment="1">
      <alignment horizontal="center" vertical="center"/>
    </xf>
    <xf numFmtId="5" fontId="5" fillId="0" borderId="1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5" fontId="4" fillId="0" borderId="1" xfId="1" applyNumberFormat="1" applyFont="1" applyFill="1" applyBorder="1" applyAlignment="1" applyProtection="1">
      <alignment horizontal="center" vertical="center"/>
    </xf>
    <xf numFmtId="5" fontId="3" fillId="0" borderId="1" xfId="1" applyNumberFormat="1" applyFont="1" applyFill="1" applyBorder="1" applyAlignment="1">
      <alignment horizontal="center" vertical="center"/>
    </xf>
    <xf numFmtId="5" fontId="3" fillId="0" borderId="1" xfId="1" applyNumberFormat="1" applyFont="1" applyFill="1" applyBorder="1" applyAlignment="1" applyProtection="1">
      <alignment horizontal="center" vertical="center"/>
    </xf>
    <xf numFmtId="5" fontId="3" fillId="2" borderId="1" xfId="1" applyNumberFormat="1" applyFont="1" applyFill="1" applyBorder="1" applyAlignment="1">
      <alignment horizontal="center" vertical="center"/>
    </xf>
    <xf numFmtId="5" fontId="3" fillId="2" borderId="1" xfId="1" applyNumberFormat="1" applyFont="1" applyFill="1" applyBorder="1" applyAlignment="1" applyProtection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9" fontId="0" fillId="0" borderId="0" xfId="2" applyFont="1"/>
    <xf numFmtId="0" fontId="6" fillId="0" borderId="0" xfId="0" applyFont="1"/>
    <xf numFmtId="9" fontId="6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2" applyNumberFormat="1" applyFont="1" applyBorder="1"/>
    <xf numFmtId="0" fontId="6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5" fontId="2" fillId="0" borderId="1" xfId="1" applyNumberFormat="1" applyFont="1" applyFill="1" applyBorder="1" applyAlignment="1">
      <alignment horizontal="center" vertical="center"/>
    </xf>
    <xf numFmtId="5" fontId="2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5" fontId="8" fillId="0" borderId="1" xfId="1" applyNumberFormat="1" applyFont="1" applyFill="1" applyBorder="1" applyAlignment="1">
      <alignment horizontal="center" vertical="center"/>
    </xf>
    <xf numFmtId="10" fontId="6" fillId="0" borderId="1" xfId="0" applyNumberFormat="1" applyFont="1" applyBorder="1"/>
    <xf numFmtId="0" fontId="10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5" fontId="6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5" fontId="2" fillId="2" borderId="1" xfId="1" applyNumberFormat="1" applyFont="1" applyFill="1" applyBorder="1" applyAlignment="1">
      <alignment horizontal="center" vertical="center"/>
    </xf>
    <xf numFmtId="5" fontId="2" fillId="2" borderId="1" xfId="1" applyNumberFormat="1" applyFont="1" applyFill="1" applyBorder="1" applyAlignment="1" applyProtection="1">
      <alignment horizontal="center" vertical="center"/>
    </xf>
    <xf numFmtId="5" fontId="3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5" fontId="11" fillId="0" borderId="1" xfId="1" applyNumberFormat="1" applyFont="1" applyFill="1" applyBorder="1" applyAlignment="1">
      <alignment horizontal="center" vertical="center" wrapText="1"/>
    </xf>
    <xf numFmtId="5" fontId="2" fillId="0" borderId="1" xfId="1" applyNumberFormat="1" applyFont="1" applyFill="1" applyBorder="1" applyAlignment="1" applyProtection="1">
      <alignment horizontal="center" vertical="center" wrapText="1"/>
    </xf>
    <xf numFmtId="5" fontId="2" fillId="2" borderId="1" xfId="1" applyNumberFormat="1" applyFont="1" applyFill="1" applyBorder="1" applyAlignment="1">
      <alignment horizontal="center" vertical="center" wrapText="1"/>
    </xf>
    <xf numFmtId="5" fontId="8" fillId="0" borderId="1" xfId="1" applyNumberFormat="1" applyFont="1" applyFill="1" applyBorder="1" applyAlignment="1">
      <alignment horizontal="center" vertical="center" wrapText="1"/>
    </xf>
    <xf numFmtId="5" fontId="8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Protection="1"/>
    <xf numFmtId="0" fontId="6" fillId="0" borderId="0" xfId="0" applyFont="1" applyProtection="1"/>
    <xf numFmtId="165" fontId="6" fillId="0" borderId="1" xfId="2" applyNumberFormat="1" applyFont="1" applyBorder="1" applyProtection="1"/>
    <xf numFmtId="165" fontId="6" fillId="0" borderId="1" xfId="2" applyNumberFormat="1" applyFont="1" applyBorder="1" applyAlignment="1" applyProtection="1">
      <alignment wrapText="1"/>
    </xf>
    <xf numFmtId="0" fontId="6" fillId="0" borderId="0" xfId="0" applyFont="1" applyAlignment="1" applyProtection="1">
      <alignment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6" fillId="0" borderId="1" xfId="2" applyNumberFormat="1" applyFont="1" applyBorder="1" applyProtection="1"/>
    <xf numFmtId="2" fontId="6" fillId="0" borderId="0" xfId="0" applyNumberFormat="1" applyFont="1" applyProtection="1"/>
    <xf numFmtId="9" fontId="6" fillId="0" borderId="1" xfId="2" applyFont="1" applyBorder="1" applyProtection="1"/>
    <xf numFmtId="2" fontId="2" fillId="0" borderId="1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Protection="1"/>
    <xf numFmtId="9" fontId="6" fillId="0" borderId="0" xfId="2" applyFont="1" applyProtection="1"/>
    <xf numFmtId="5" fontId="3" fillId="0" borderId="1" xfId="1" applyNumberFormat="1" applyFont="1" applyFill="1" applyBorder="1" applyAlignment="1" applyProtection="1">
      <alignment horizontal="center" vertical="center" wrapText="1"/>
    </xf>
    <xf numFmtId="5" fontId="11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wrapText="1"/>
    </xf>
    <xf numFmtId="0" fontId="13" fillId="0" borderId="0" xfId="0" applyFont="1" applyAlignment="1" applyProtection="1">
      <alignment wrapText="1"/>
    </xf>
    <xf numFmtId="0" fontId="9" fillId="0" borderId="1" xfId="0" applyFont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164" fontId="9" fillId="0" borderId="0" xfId="0" applyNumberFormat="1" applyFont="1" applyAlignment="1" applyProtection="1">
      <alignment wrapText="1"/>
    </xf>
    <xf numFmtId="5" fontId="2" fillId="2" borderId="1" xfId="1" applyNumberFormat="1" applyFont="1" applyFill="1" applyBorder="1" applyAlignment="1" applyProtection="1">
      <alignment horizontal="center" vertical="center" wrapText="1"/>
    </xf>
    <xf numFmtId="9" fontId="7" fillId="2" borderId="1" xfId="2" applyFont="1" applyFill="1" applyBorder="1" applyProtection="1"/>
    <xf numFmtId="0" fontId="7" fillId="2" borderId="0" xfId="0" applyFont="1" applyFill="1" applyProtection="1"/>
    <xf numFmtId="0" fontId="7" fillId="0" borderId="0" xfId="0" applyFont="1" applyProtection="1"/>
    <xf numFmtId="9" fontId="6" fillId="2" borderId="1" xfId="2" applyFont="1" applyFill="1" applyBorder="1" applyProtection="1"/>
    <xf numFmtId="0" fontId="6" fillId="2" borderId="0" xfId="0" applyFont="1" applyFill="1" applyProtection="1"/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168" fontId="7" fillId="0" borderId="1" xfId="0" applyNumberFormat="1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5" borderId="6" xfId="0" applyFont="1" applyFill="1" applyBorder="1" applyAlignment="1" applyProtection="1">
      <alignment horizontal="center" vertical="center" wrapText="1"/>
    </xf>
    <xf numFmtId="0" fontId="0" fillId="5" borderId="5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169" fontId="0" fillId="4" borderId="7" xfId="3" applyNumberFormat="1" applyFont="1" applyFill="1" applyBorder="1" applyAlignment="1">
      <alignment horizontal="center"/>
    </xf>
    <xf numFmtId="170" fontId="0" fillId="4" borderId="1" xfId="3" applyNumberFormat="1" applyFont="1" applyFill="1" applyBorder="1" applyAlignment="1">
      <alignment horizontal="center"/>
    </xf>
    <xf numFmtId="170" fontId="0" fillId="4" borderId="8" xfId="3" applyNumberFormat="1" applyFont="1" applyFill="1" applyBorder="1" applyAlignment="1">
      <alignment horizontal="center"/>
    </xf>
    <xf numFmtId="9" fontId="0" fillId="5" borderId="9" xfId="2" applyFont="1" applyFill="1" applyBorder="1" applyAlignment="1">
      <alignment horizontal="center" vertical="center"/>
    </xf>
    <xf numFmtId="9" fontId="0" fillId="5" borderId="5" xfId="2" applyFont="1" applyFill="1" applyBorder="1" applyAlignment="1">
      <alignment horizontal="center" vertical="center"/>
    </xf>
    <xf numFmtId="9" fontId="0" fillId="5" borderId="1" xfId="2" applyFont="1" applyFill="1" applyBorder="1" applyAlignment="1">
      <alignment horizontal="center" vertical="center"/>
    </xf>
    <xf numFmtId="169" fontId="0" fillId="5" borderId="9" xfId="3" applyNumberFormat="1" applyFont="1" applyFill="1" applyBorder="1" applyAlignment="1">
      <alignment horizontal="center" vertical="center"/>
    </xf>
    <xf numFmtId="169" fontId="15" fillId="5" borderId="9" xfId="3" applyNumberFormat="1" applyFont="1" applyFill="1" applyBorder="1" applyAlignment="1">
      <alignment horizontal="center" vertical="center"/>
    </xf>
    <xf numFmtId="169" fontId="0" fillId="4" borderId="10" xfId="3" applyNumberFormat="1" applyFont="1" applyFill="1" applyBorder="1" applyAlignment="1" applyProtection="1">
      <alignment horizontal="center"/>
      <protection locked="0"/>
    </xf>
    <xf numFmtId="170" fontId="0" fillId="4" borderId="11" xfId="3" applyNumberFormat="1" applyFont="1" applyFill="1" applyBorder="1" applyAlignment="1" applyProtection="1">
      <alignment horizontal="center"/>
      <protection locked="0"/>
    </xf>
    <xf numFmtId="170" fontId="0" fillId="4" borderId="12" xfId="3" applyNumberFormat="1" applyFont="1" applyFill="1" applyBorder="1" applyAlignment="1" applyProtection="1">
      <alignment horizontal="center"/>
      <protection locked="0"/>
    </xf>
    <xf numFmtId="9" fontId="0" fillId="5" borderId="13" xfId="2" applyFont="1" applyFill="1" applyBorder="1" applyAlignment="1">
      <alignment horizontal="center" vertical="center"/>
    </xf>
    <xf numFmtId="9" fontId="0" fillId="5" borderId="5" xfId="2" applyFont="1" applyFill="1" applyBorder="1" applyAlignment="1">
      <alignment horizontal="center" vertical="center" wrapText="1"/>
    </xf>
    <xf numFmtId="9" fontId="0" fillId="5" borderId="1" xfId="2" applyFont="1" applyFill="1" applyBorder="1" applyAlignment="1">
      <alignment horizontal="center" vertical="center" wrapText="1"/>
    </xf>
    <xf numFmtId="169" fontId="16" fillId="5" borderId="13" xfId="3" applyNumberFormat="1" applyFont="1" applyFill="1" applyBorder="1" applyAlignment="1">
      <alignment horizontal="center" vertical="center"/>
    </xf>
    <xf numFmtId="169" fontId="0" fillId="5" borderId="13" xfId="3" applyNumberFormat="1" applyFont="1" applyFill="1" applyBorder="1" applyAlignment="1">
      <alignment horizontal="center" vertical="center"/>
    </xf>
  </cellXfs>
  <cellStyles count="4">
    <cellStyle name="Ezres" xfId="3" builtinId="3"/>
    <cellStyle name="Normál" xfId="0" builtinId="0"/>
    <cellStyle name="Pénznem" xfId="1" builtinId="4"/>
    <cellStyle name="Százalék" xfId="2" builtinId="5"/>
  </cellStyles>
  <dxfs count="0"/>
  <tableStyles count="0" defaultTableStyle="TableStyleMedium2" defaultPivotStyle="PivotStyleLight16"/>
  <colors>
    <mruColors>
      <color rgb="FFC5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s://payrollers.h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17929</xdr:rowOff>
    </xdr:from>
    <xdr:to>
      <xdr:col>20</xdr:col>
      <xdr:colOff>41562</xdr:colOff>
      <xdr:row>59</xdr:row>
      <xdr:rowOff>13854</xdr:rowOff>
    </xdr:to>
    <xdr:pic>
      <xdr:nvPicPr>
        <xdr:cNvPr id="3" name="Kép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64111"/>
          <a:ext cx="9836726" cy="37366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665018</xdr:colOff>
      <xdr:row>4</xdr:row>
      <xdr:rowOff>249382</xdr:rowOff>
    </xdr:to>
    <xdr:pic>
      <xdr:nvPicPr>
        <xdr:cNvPr id="6" name="Kép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84618" cy="1773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4"/>
  <sheetViews>
    <sheetView showGridLines="0" tabSelected="1" topLeftCell="A7" zoomScale="55" zoomScaleNormal="55" workbookViewId="0">
      <selection activeCell="B12" sqref="B12"/>
    </sheetView>
  </sheetViews>
  <sheetFormatPr defaultRowHeight="19.8" x14ac:dyDescent="0.4"/>
  <cols>
    <col min="1" max="1" width="35.21875" style="29" bestFit="1" customWidth="1"/>
    <col min="2" max="2" width="29.21875" style="29" bestFit="1" customWidth="1"/>
    <col min="3" max="3" width="23.5546875" style="29" hidden="1" customWidth="1"/>
    <col min="4" max="4" width="43.5546875" style="29" customWidth="1"/>
    <col min="5" max="6" width="28.109375" style="29" hidden="1" customWidth="1"/>
    <col min="7" max="7" width="28.5546875" style="29" hidden="1" customWidth="1"/>
    <col min="8" max="8" width="16.6640625" style="29" hidden="1" customWidth="1"/>
    <col min="9" max="9" width="4.5546875" style="29" hidden="1" customWidth="1"/>
    <col min="10" max="10" width="15" style="29" hidden="1" customWidth="1"/>
    <col min="11" max="11" width="9.33203125" style="29" hidden="1" customWidth="1"/>
    <col min="12" max="12" width="12.44140625" style="29" hidden="1" customWidth="1"/>
    <col min="13" max="13" width="7.77734375" style="29" hidden="1" customWidth="1"/>
    <col min="14" max="14" width="8.88671875" style="29" hidden="1" customWidth="1"/>
    <col min="15" max="16" width="9.33203125" style="29" hidden="1" customWidth="1"/>
    <col min="17" max="17" width="4.5546875" style="29" hidden="1" customWidth="1"/>
    <col min="18" max="18" width="8.88671875" style="29" hidden="1" customWidth="1"/>
    <col min="19" max="19" width="51.109375" style="29" hidden="1" customWidth="1"/>
    <col min="20" max="20" width="34.77734375" style="29" customWidth="1"/>
    <col min="21" max="16384" width="8.88671875" style="29"/>
  </cols>
  <sheetData>
    <row r="4" spans="1:20" ht="60.6" customHeight="1" x14ac:dyDescent="0.4"/>
    <row r="5" spans="1:20" ht="36.6" customHeight="1" x14ac:dyDescent="0.4"/>
    <row r="6" spans="1:20" x14ac:dyDescent="0.4">
      <c r="E6" s="30">
        <f>+IF(H14=0,0,30%)</f>
        <v>0.3</v>
      </c>
      <c r="F6" s="30">
        <f>IF(H14=0,0,40%)</f>
        <v>0.4</v>
      </c>
      <c r="G6" s="30">
        <f>IF(H14=0,0,50%)</f>
        <v>0.5</v>
      </c>
      <c r="H6" s="30">
        <v>0.85</v>
      </c>
      <c r="J6" s="30">
        <v>0.3</v>
      </c>
      <c r="K6" s="30">
        <v>0.4</v>
      </c>
      <c r="L6" s="30">
        <v>0.25</v>
      </c>
    </row>
    <row r="7" spans="1:20" ht="59.4" x14ac:dyDescent="0.4">
      <c r="A7" s="94" t="s">
        <v>31</v>
      </c>
      <c r="B7" s="31" t="s">
        <v>30</v>
      </c>
      <c r="C7" s="31" t="s">
        <v>0</v>
      </c>
      <c r="D7" s="95">
        <f>D8</f>
        <v>0.5</v>
      </c>
      <c r="E7" s="32" t="s">
        <v>27</v>
      </c>
      <c r="F7" s="32" t="s">
        <v>28</v>
      </c>
      <c r="G7" s="32" t="s">
        <v>29</v>
      </c>
      <c r="H7" s="29" t="s">
        <v>1</v>
      </c>
      <c r="S7" s="33">
        <f>ROUND(100%-D9/B9,1)</f>
        <v>0.5</v>
      </c>
      <c r="T7" s="31" t="s">
        <v>25</v>
      </c>
    </row>
    <row r="8" spans="1:20" ht="49.2" customHeight="1" x14ac:dyDescent="0.4">
      <c r="A8" s="20" t="s">
        <v>13</v>
      </c>
      <c r="B8" s="34">
        <v>1</v>
      </c>
      <c r="C8" s="35"/>
      <c r="D8" s="55">
        <f>D9/B9</f>
        <v>0.5</v>
      </c>
      <c r="E8" s="32"/>
      <c r="F8" s="32"/>
      <c r="G8" s="32"/>
      <c r="S8" s="33"/>
      <c r="T8" s="31"/>
    </row>
    <row r="9" spans="1:20" ht="45" customHeight="1" x14ac:dyDescent="0.4">
      <c r="A9" s="20" t="s">
        <v>13</v>
      </c>
      <c r="B9" s="36">
        <v>8</v>
      </c>
      <c r="C9" s="35"/>
      <c r="D9" s="36">
        <v>4</v>
      </c>
      <c r="E9" s="35">
        <f>D9</f>
        <v>4</v>
      </c>
      <c r="F9" s="35">
        <f>E9</f>
        <v>4</v>
      </c>
      <c r="G9" s="35">
        <f>F9</f>
        <v>4</v>
      </c>
      <c r="H9" s="67"/>
      <c r="I9" s="68"/>
      <c r="J9" s="68"/>
      <c r="K9" s="68">
        <f>B9*J6</f>
        <v>2.4</v>
      </c>
      <c r="L9" s="68">
        <f>8*K6</f>
        <v>3.2</v>
      </c>
      <c r="M9" s="68">
        <f>8*L6</f>
        <v>2</v>
      </c>
      <c r="N9" s="68"/>
      <c r="O9" s="68">
        <f>8-K9</f>
        <v>5.6</v>
      </c>
      <c r="P9" s="68">
        <f t="shared" ref="P9:Q9" si="0">8-L9</f>
        <v>4.8</v>
      </c>
      <c r="Q9" s="68">
        <f t="shared" si="0"/>
        <v>6</v>
      </c>
      <c r="R9" s="68"/>
      <c r="S9" s="35">
        <f t="shared" ref="S9:S44" si="1">IF($S$7=$E$6,E9,IF($S$7=$F$6,$F$9,IF($S$7=$G$6,G9,"")))</f>
        <v>4</v>
      </c>
      <c r="T9" s="39">
        <f>IFERROR(D18,D15)</f>
        <v>4</v>
      </c>
    </row>
    <row r="10" spans="1:20" ht="45" customHeight="1" x14ac:dyDescent="0.4">
      <c r="A10" s="20" t="s">
        <v>20</v>
      </c>
      <c r="B10" s="1" t="s">
        <v>37</v>
      </c>
      <c r="C10" s="2" t="str">
        <f>IF(B10="","",B10)</f>
        <v>nem</v>
      </c>
      <c r="D10" s="3" t="str">
        <f>C10</f>
        <v>nem</v>
      </c>
      <c r="E10" s="3" t="str">
        <f t="shared" ref="E10:G10" si="2">D10</f>
        <v>nem</v>
      </c>
      <c r="F10" s="3" t="str">
        <f t="shared" si="2"/>
        <v>nem</v>
      </c>
      <c r="G10" s="3" t="str">
        <f t="shared" si="2"/>
        <v>nem</v>
      </c>
      <c r="H10" s="69"/>
      <c r="I10" s="70"/>
      <c r="J10" s="70"/>
      <c r="K10" s="70"/>
      <c r="L10" s="70"/>
      <c r="M10" s="70"/>
      <c r="N10" s="70"/>
      <c r="O10" s="70">
        <f>O9*4.35*5</f>
        <v>121.79999999999998</v>
      </c>
      <c r="P10" s="70">
        <f>P9*4.35*5</f>
        <v>104.39999999999999</v>
      </c>
      <c r="Q10" s="70">
        <f>Q9*4.35*5</f>
        <v>130.5</v>
      </c>
      <c r="R10" s="70"/>
      <c r="S10" s="3" t="str">
        <f t="shared" si="1"/>
        <v>nem</v>
      </c>
      <c r="T10" s="3" t="str">
        <f>G10</f>
        <v>nem</v>
      </c>
    </row>
    <row r="11" spans="1:20" ht="45" customHeight="1" x14ac:dyDescent="0.4">
      <c r="A11" s="21" t="s">
        <v>2</v>
      </c>
      <c r="B11" s="4">
        <v>250000</v>
      </c>
      <c r="C11" s="5">
        <f>D11</f>
        <v>125000</v>
      </c>
      <c r="D11" s="11">
        <f>B11/B9*D9</f>
        <v>125000</v>
      </c>
      <c r="E11" s="7">
        <f t="shared" ref="E11:G12" si="3">D11</f>
        <v>125000</v>
      </c>
      <c r="F11" s="7">
        <f t="shared" si="3"/>
        <v>125000</v>
      </c>
      <c r="G11" s="7">
        <f t="shared" si="3"/>
        <v>125000</v>
      </c>
      <c r="H11" s="71">
        <f>100%-C11/B11</f>
        <v>0.5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">
        <f t="shared" si="1"/>
        <v>125000</v>
      </c>
      <c r="T11" s="7">
        <f>IFERROR(B11/B9*T9,C17)</f>
        <v>125000</v>
      </c>
    </row>
    <row r="12" spans="1:20" ht="45" customHeight="1" x14ac:dyDescent="0.4">
      <c r="A12" s="21" t="s">
        <v>32</v>
      </c>
      <c r="B12" s="1" t="s">
        <v>18</v>
      </c>
      <c r="C12" s="2" t="str">
        <f>IF(B12="","",B12)</f>
        <v>Igen</v>
      </c>
      <c r="D12" s="3" t="str">
        <f>C12</f>
        <v>Igen</v>
      </c>
      <c r="E12" s="3" t="str">
        <f t="shared" si="3"/>
        <v>Igen</v>
      </c>
      <c r="F12" s="3" t="str">
        <f t="shared" si="3"/>
        <v>Igen</v>
      </c>
      <c r="G12" s="3" t="str">
        <f t="shared" si="3"/>
        <v>Igen</v>
      </c>
      <c r="H12" s="71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"/>
      <c r="T12" s="3" t="str">
        <f>D12</f>
        <v>Igen</v>
      </c>
    </row>
    <row r="13" spans="1:20" ht="45" customHeight="1" x14ac:dyDescent="0.4">
      <c r="A13" s="21" t="str">
        <f>IF(D8&lt;=50%,"Fejlesztési időben megállapodnak-e?","")</f>
        <v>Fejlesztési időben megállapodnak-e?</v>
      </c>
      <c r="B13" s="1" t="s">
        <v>37</v>
      </c>
      <c r="C13" s="2" t="str">
        <f>IF(B13="","",B13)</f>
        <v>nem</v>
      </c>
      <c r="D13" s="3" t="str">
        <f>C13</f>
        <v>nem</v>
      </c>
      <c r="E13" s="3" t="str">
        <f t="shared" ref="E13" si="4">D13</f>
        <v>nem</v>
      </c>
      <c r="F13" s="3" t="str">
        <f t="shared" ref="F13" si="5">E13</f>
        <v>nem</v>
      </c>
      <c r="G13" s="3" t="str">
        <f t="shared" ref="G13" si="6">F13</f>
        <v>nem</v>
      </c>
      <c r="H13" s="71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"/>
      <c r="T13" s="3" t="str">
        <f>D13</f>
        <v>nem</v>
      </c>
    </row>
    <row r="14" spans="1:20" ht="45" customHeight="1" x14ac:dyDescent="0.4">
      <c r="A14" s="9" t="s">
        <v>33</v>
      </c>
      <c r="B14" s="2">
        <f>VLOOKUP(B9,Segéd!$A$1:$B$9,2,0)</f>
        <v>176</v>
      </c>
      <c r="C14" s="2">
        <f>176/8*D9</f>
        <v>88</v>
      </c>
      <c r="D14" s="3">
        <f>176/8*D9</f>
        <v>88</v>
      </c>
      <c r="E14" s="3">
        <f t="shared" ref="D14:G43" si="7">D14</f>
        <v>88</v>
      </c>
      <c r="F14" s="3">
        <f t="shared" si="7"/>
        <v>88</v>
      </c>
      <c r="G14" s="3">
        <f t="shared" si="7"/>
        <v>88</v>
      </c>
      <c r="H14" s="71">
        <f>IF(L14="nem",0,100%-C14/B14)</f>
        <v>0.5</v>
      </c>
      <c r="I14" s="70"/>
      <c r="J14" s="70">
        <f>B14*L6</f>
        <v>44</v>
      </c>
      <c r="K14" s="70">
        <f>B14*H6</f>
        <v>149.6</v>
      </c>
      <c r="L14" s="70">
        <f>IF(AND(176/8*D9&gt;=J14,176/8*D9&lt;=K14),176/8*D9,"nem")</f>
        <v>88</v>
      </c>
      <c r="M14" s="70"/>
      <c r="N14" s="70"/>
      <c r="O14" s="70"/>
      <c r="P14" s="70"/>
      <c r="Q14" s="70"/>
      <c r="R14" s="70"/>
      <c r="S14" s="3">
        <f t="shared" si="1"/>
        <v>88</v>
      </c>
      <c r="T14" s="3">
        <f>IFERROR(176/8*T9,C17)</f>
        <v>88</v>
      </c>
    </row>
    <row r="15" spans="1:20" s="41" customFormat="1" ht="45" customHeight="1" x14ac:dyDescent="0.4">
      <c r="A15" s="9" t="s">
        <v>22</v>
      </c>
      <c r="B15" s="8"/>
      <c r="C15" s="9">
        <f>IF(AND(A13="",B13&lt;&gt;""),"kérlek töröld a b13-as cella tartamát",IF(AND(A13&lt;&gt;"",B13=""),"kélek töltsd ki a B13-as cellát!",IF(OR(B9=D9,L14="nem",B13="nem"),0,(B14-C14)*0.3)))</f>
        <v>0</v>
      </c>
      <c r="D15" s="10">
        <f>IF(C15&lt;&gt;J15,J15,C15)</f>
        <v>0</v>
      </c>
      <c r="E15" s="10">
        <f t="shared" ref="E15:G15" si="8">D15</f>
        <v>0</v>
      </c>
      <c r="F15" s="10">
        <f t="shared" si="8"/>
        <v>0</v>
      </c>
      <c r="G15" s="10">
        <f t="shared" si="8"/>
        <v>0</v>
      </c>
      <c r="H15" s="72"/>
      <c r="I15" s="73"/>
      <c r="J15" s="73">
        <f>IF(L14="nem","Nem jogosult támogatásra",C15)</f>
        <v>0</v>
      </c>
      <c r="K15" s="73"/>
      <c r="L15" s="73"/>
      <c r="M15" s="73"/>
      <c r="N15" s="73"/>
      <c r="O15" s="73"/>
      <c r="P15" s="73"/>
      <c r="Q15" s="73"/>
      <c r="R15" s="73"/>
      <c r="S15" s="10">
        <f t="shared" si="1"/>
        <v>0</v>
      </c>
      <c r="T15" s="10"/>
    </row>
    <row r="16" spans="1:20" ht="45" customHeight="1" x14ac:dyDescent="0.4">
      <c r="A16" s="9" t="s">
        <v>24</v>
      </c>
      <c r="B16" s="26"/>
      <c r="C16" s="27">
        <f>IF(OR(B13="",B13="igen"),C15/21.75,0)</f>
        <v>0</v>
      </c>
      <c r="D16" s="74">
        <f>IFERROR(D15/21.75,0)</f>
        <v>0</v>
      </c>
      <c r="E16" s="74">
        <f t="shared" ref="E16:G16" si="9">IFERROR(E15/21.75,0)</f>
        <v>0</v>
      </c>
      <c r="F16" s="74">
        <f t="shared" si="9"/>
        <v>0</v>
      </c>
      <c r="G16" s="74">
        <f t="shared" si="9"/>
        <v>0</v>
      </c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4">
        <f t="shared" si="1"/>
        <v>0</v>
      </c>
      <c r="T16" s="74"/>
    </row>
    <row r="17" spans="1:20" ht="45" customHeight="1" x14ac:dyDescent="0.4">
      <c r="A17" s="42" t="s">
        <v>35</v>
      </c>
      <c r="B17" s="43">
        <f>B14</f>
        <v>176</v>
      </c>
      <c r="C17" s="42">
        <f>IFERROR(IF(B9=D9,C14,C14+C15),C15)</f>
        <v>88</v>
      </c>
      <c r="D17" s="44">
        <f t="shared" si="7"/>
        <v>88</v>
      </c>
      <c r="E17" s="44">
        <f t="shared" si="7"/>
        <v>88</v>
      </c>
      <c r="F17" s="44">
        <f t="shared" si="7"/>
        <v>88</v>
      </c>
      <c r="G17" s="44">
        <f t="shared" si="7"/>
        <v>88</v>
      </c>
      <c r="H17" s="77"/>
      <c r="I17" s="70">
        <f>C17/4.35</f>
        <v>20.229885057471265</v>
      </c>
      <c r="J17" s="70">
        <f>I17/5</f>
        <v>4.0459770114942533</v>
      </c>
      <c r="K17" s="70"/>
      <c r="L17" s="70"/>
      <c r="M17" s="70"/>
      <c r="N17" s="70"/>
      <c r="O17" s="70"/>
      <c r="P17" s="70"/>
      <c r="Q17" s="70"/>
      <c r="R17" s="70"/>
      <c r="S17" s="44">
        <f t="shared" si="1"/>
        <v>88</v>
      </c>
      <c r="T17" s="37">
        <f>IFERROR(T14,C17)</f>
        <v>88</v>
      </c>
    </row>
    <row r="18" spans="1:20" ht="45" customHeight="1" x14ac:dyDescent="0.4">
      <c r="A18" s="42" t="s">
        <v>36</v>
      </c>
      <c r="B18" s="45">
        <f>B17/22</f>
        <v>8</v>
      </c>
      <c r="C18" s="45">
        <f>IFERROR(C17/22,"")</f>
        <v>4</v>
      </c>
      <c r="D18" s="78">
        <f>IFERROR(D17/22,"")</f>
        <v>4</v>
      </c>
      <c r="E18" s="78">
        <f t="shared" ref="E18:G18" si="10">E17/22</f>
        <v>4</v>
      </c>
      <c r="F18" s="78">
        <f t="shared" si="10"/>
        <v>4</v>
      </c>
      <c r="G18" s="78">
        <f t="shared" si="10"/>
        <v>4</v>
      </c>
      <c r="H18" s="77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8">
        <f t="shared" si="1"/>
        <v>4</v>
      </c>
      <c r="T18" s="78">
        <f>IFERROR(T17/22,"")</f>
        <v>4</v>
      </c>
    </row>
    <row r="19" spans="1:20" ht="45" customHeight="1" x14ac:dyDescent="0.4">
      <c r="A19" s="22" t="s">
        <v>4</v>
      </c>
      <c r="B19" s="6"/>
      <c r="C19" s="6">
        <f>IFERROR(C22/0.665,"")</f>
        <v>0</v>
      </c>
      <c r="D19" s="11">
        <f>IFERROR(D22/0.665,"")</f>
        <v>0</v>
      </c>
      <c r="E19" s="11">
        <f>E22/0.665</f>
        <v>72500</v>
      </c>
      <c r="F19" s="11">
        <f>F22/0.665</f>
        <v>90000</v>
      </c>
      <c r="G19" s="11">
        <f>G22/0.665</f>
        <v>59210.526315789473</v>
      </c>
      <c r="H19" s="69"/>
      <c r="I19" s="70"/>
      <c r="J19" s="79"/>
      <c r="K19" s="70"/>
      <c r="L19" s="70"/>
      <c r="M19" s="70"/>
      <c r="N19" s="70"/>
      <c r="O19" s="70"/>
      <c r="P19" s="70"/>
      <c r="Q19" s="70"/>
      <c r="R19" s="70"/>
      <c r="S19" s="11">
        <f t="shared" si="1"/>
        <v>59210.526315789473</v>
      </c>
      <c r="T19" s="11"/>
    </row>
    <row r="20" spans="1:20" ht="45" customHeight="1" x14ac:dyDescent="0.4">
      <c r="A20" s="42" t="s">
        <v>7</v>
      </c>
      <c r="B20" s="46">
        <f>B11</f>
        <v>250000</v>
      </c>
      <c r="C20" s="46">
        <f>IFERROR(C11+C19,"")</f>
        <v>125000</v>
      </c>
      <c r="D20" s="47">
        <f>IFERROR(D11+D19,"")</f>
        <v>125000</v>
      </c>
      <c r="E20" s="47">
        <f>E11+E19</f>
        <v>197500</v>
      </c>
      <c r="F20" s="47">
        <f>F11+F19</f>
        <v>215000</v>
      </c>
      <c r="G20" s="47">
        <f>G11+G19</f>
        <v>184210.52631578947</v>
      </c>
      <c r="H20" s="69"/>
      <c r="I20" s="70"/>
      <c r="J20" s="79">
        <f>C21*35%</f>
        <v>29093.749999999996</v>
      </c>
      <c r="K20" s="80">
        <f>C20/B20</f>
        <v>0.5</v>
      </c>
      <c r="L20" s="70">
        <f>B14*K20</f>
        <v>88</v>
      </c>
      <c r="M20" s="70">
        <f>L20/22.5</f>
        <v>3.911111111111111</v>
      </c>
      <c r="N20" s="70"/>
      <c r="O20" s="70"/>
      <c r="P20" s="70"/>
      <c r="Q20" s="70"/>
      <c r="R20" s="70"/>
      <c r="S20" s="47">
        <f t="shared" si="1"/>
        <v>184210.52631578947</v>
      </c>
      <c r="T20" s="63">
        <f>T11</f>
        <v>125000</v>
      </c>
    </row>
    <row r="21" spans="1:20" ht="45" customHeight="1" x14ac:dyDescent="0.4">
      <c r="A21" s="9" t="s">
        <v>14</v>
      </c>
      <c r="B21" s="12">
        <f t="shared" ref="B21:G21" si="11">IF(B10="nem",B11-(B11*SUM($H$29:$H$33)),B11-(B11*15%))</f>
        <v>166250</v>
      </c>
      <c r="C21" s="12">
        <f t="shared" si="11"/>
        <v>83125</v>
      </c>
      <c r="D21" s="13">
        <f t="shared" si="11"/>
        <v>83125</v>
      </c>
      <c r="E21" s="13">
        <f t="shared" si="11"/>
        <v>83125</v>
      </c>
      <c r="F21" s="13">
        <f t="shared" si="11"/>
        <v>83125</v>
      </c>
      <c r="G21" s="13">
        <f t="shared" si="11"/>
        <v>83125</v>
      </c>
      <c r="H21" s="71">
        <f>100%-C21/B21</f>
        <v>0.5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13">
        <f t="shared" si="1"/>
        <v>83125</v>
      </c>
      <c r="T21" s="13">
        <f>IFERROR(IF(T10="nem",T11-(T11*SUM($H$29:$H$33)),T11-(T11*15%)),C17)</f>
        <v>83125</v>
      </c>
    </row>
    <row r="22" spans="1:20" ht="45" customHeight="1" x14ac:dyDescent="0.4">
      <c r="A22" s="9" t="s">
        <v>5</v>
      </c>
      <c r="B22" s="12"/>
      <c r="C22" s="60">
        <f>IF(ISTEXT(C15),C15,IF(B13="nem",0,IF(AND($L$14="nem",OR(B13="",B13="nem")),0,$B$21-C21-C23)))</f>
        <v>0</v>
      </c>
      <c r="D22" s="81">
        <f>IF(ISTEXT(D15),D15,IF(C13="nem",0,IF(AND($L$14="nem",OR(C13="",C13="nem")),0,$B$21-D21-D23)))</f>
        <v>0</v>
      </c>
      <c r="E22" s="13">
        <f>IF($L$14="nem",0,$B$21-E21-E23)</f>
        <v>48212.5</v>
      </c>
      <c r="F22" s="13">
        <f>IF($L$14="nem",0,$B$21-F21-F23)</f>
        <v>59850</v>
      </c>
      <c r="G22" s="13">
        <f>IF($L$14="nem",0,$B$21-G21-G23)</f>
        <v>39375</v>
      </c>
      <c r="H22" s="6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13">
        <f t="shared" si="1"/>
        <v>39375</v>
      </c>
      <c r="T22" s="13"/>
    </row>
    <row r="23" spans="1:20" s="41" customFormat="1" ht="45" customHeight="1" x14ac:dyDescent="0.4">
      <c r="A23" s="61" t="s">
        <v>6</v>
      </c>
      <c r="B23" s="62"/>
      <c r="C23" s="62">
        <f>C26*0.7</f>
        <v>58187.499999999993</v>
      </c>
      <c r="D23" s="82">
        <f t="shared" ref="D23:G23" si="12">D26*0.7</f>
        <v>58187.499999999993</v>
      </c>
      <c r="E23" s="82">
        <f t="shared" si="12"/>
        <v>34912.5</v>
      </c>
      <c r="F23" s="82">
        <f t="shared" si="12"/>
        <v>23275</v>
      </c>
      <c r="G23" s="82">
        <f t="shared" si="12"/>
        <v>43750</v>
      </c>
      <c r="H23" s="83"/>
      <c r="I23" s="84"/>
      <c r="J23" s="84">
        <f>IF(C26*$J$6*$H$6&gt;74946,74946,C26*$J$6*$H$6)</f>
        <v>21196.875</v>
      </c>
      <c r="K23" s="84">
        <f>IF(C26*$K$6*$H$6&gt;74946,74946,C26*$K$6*$H$6)</f>
        <v>28262.5</v>
      </c>
      <c r="L23" s="84">
        <f>IF(C26*$L$6*$H$6&gt;74946,74946,C26*$L$6*$H$6)</f>
        <v>17664.0625</v>
      </c>
      <c r="M23" s="84"/>
      <c r="N23" s="84"/>
      <c r="O23" s="84"/>
      <c r="P23" s="84"/>
      <c r="Q23" s="84"/>
      <c r="R23" s="84"/>
      <c r="S23" s="82">
        <f t="shared" si="1"/>
        <v>43750</v>
      </c>
      <c r="T23" s="82"/>
    </row>
    <row r="24" spans="1:20" ht="45" customHeight="1" x14ac:dyDescent="0.4">
      <c r="A24" s="48" t="s">
        <v>26</v>
      </c>
      <c r="B24" s="49">
        <f>B21</f>
        <v>166250</v>
      </c>
      <c r="C24" s="65">
        <f>IFERROR(C21+C22+C23,C22)</f>
        <v>141312.5</v>
      </c>
      <c r="D24" s="66">
        <f>IFERROR(D21+D22+D23,D22)</f>
        <v>141312.5</v>
      </c>
      <c r="E24" s="66">
        <f>IFERROR(E21+E22+E23,E21)</f>
        <v>166250</v>
      </c>
      <c r="F24" s="66">
        <f>IFERROR(F21+F22+F23,F21)</f>
        <v>166250</v>
      </c>
      <c r="G24" s="66">
        <f>IFERROR(G21+G22+G23,G21)</f>
        <v>166250</v>
      </c>
      <c r="H24" s="85"/>
      <c r="I24" s="86"/>
      <c r="J24" s="87"/>
      <c r="K24" s="86"/>
      <c r="L24" s="86"/>
      <c r="M24" s="86"/>
      <c r="N24" s="86"/>
      <c r="O24" s="86"/>
      <c r="P24" s="86"/>
      <c r="Q24" s="86"/>
      <c r="R24" s="86"/>
      <c r="S24" s="66">
        <f t="shared" si="1"/>
        <v>166250</v>
      </c>
      <c r="T24" s="66">
        <f>T21</f>
        <v>83125</v>
      </c>
    </row>
    <row r="25" spans="1:20" ht="45" customHeight="1" x14ac:dyDescent="0.4">
      <c r="A25" s="57" t="s">
        <v>34</v>
      </c>
      <c r="B25" s="58"/>
      <c r="C25" s="64">
        <f>IFERROR($B$24-C24,C17)</f>
        <v>24937.5</v>
      </c>
      <c r="D25" s="88">
        <f>IFERROR($B$24-D24,D17)</f>
        <v>24937.5</v>
      </c>
      <c r="E25" s="59">
        <f>IF($B$21&gt;214130,214130*E5,B20*E5)</f>
        <v>0</v>
      </c>
      <c r="F25" s="59">
        <f>IF($B$21&gt;214130,214130*F5,C20*F5)</f>
        <v>0</v>
      </c>
      <c r="G25" s="59" t="e">
        <f>IF($B$21&gt;214130,214130*G5,D10*G5)</f>
        <v>#VALUE!</v>
      </c>
      <c r="H25" s="89">
        <f>H13</f>
        <v>0</v>
      </c>
      <c r="I25" s="90"/>
      <c r="J25" s="91"/>
      <c r="K25" s="91"/>
      <c r="L25" s="91"/>
      <c r="M25" s="91"/>
      <c r="N25" s="91"/>
      <c r="O25" s="91"/>
      <c r="P25" s="91"/>
      <c r="Q25" s="91"/>
      <c r="R25" s="91"/>
      <c r="S25" s="59" t="e">
        <f t="shared" ref="S25" si="13">IF($S$7=$E$6,E25,IF($S$7=$F$6,$F$9,IF($S$7=$G$6,G25,"")))</f>
        <v>#VALUE!</v>
      </c>
      <c r="T25" s="59">
        <f>IFERROR($B$24-T24,C25)</f>
        <v>83125</v>
      </c>
    </row>
    <row r="26" spans="1:20" ht="45" hidden="1" customHeight="1" x14ac:dyDescent="0.4">
      <c r="A26" s="23" t="s">
        <v>3</v>
      </c>
      <c r="B26" s="14"/>
      <c r="C26" s="14">
        <f>IF(B21&gt;214130,214130*H11,B21*H11)</f>
        <v>83125</v>
      </c>
      <c r="D26" s="15">
        <f t="shared" si="7"/>
        <v>83125</v>
      </c>
      <c r="E26" s="15">
        <f>IF($B$21&gt;214130,214130*E6,B21*E6)</f>
        <v>49875</v>
      </c>
      <c r="F26" s="15">
        <f>IF($B$21&gt;214130,214130*F6,C21*F6)</f>
        <v>33250</v>
      </c>
      <c r="G26" s="15">
        <f>IF($B$21&gt;214130,214130*G6,D11*G6)</f>
        <v>62500</v>
      </c>
      <c r="H26" s="92">
        <f>H14</f>
        <v>0.5</v>
      </c>
      <c r="I26" s="93"/>
      <c r="J26" s="70"/>
      <c r="K26" s="70"/>
      <c r="L26" s="70"/>
      <c r="M26" s="70"/>
      <c r="N26" s="70"/>
      <c r="O26" s="70"/>
      <c r="P26" s="70"/>
      <c r="Q26" s="70"/>
      <c r="R26" s="70"/>
      <c r="S26" s="15">
        <f t="shared" si="1"/>
        <v>62500</v>
      </c>
      <c r="T26" s="15"/>
    </row>
    <row r="27" spans="1:20" ht="45" hidden="1" customHeight="1" x14ac:dyDescent="0.4">
      <c r="A27" s="9" t="s">
        <v>8</v>
      </c>
      <c r="B27" s="16">
        <f t="shared" ref="B27:B33" si="14">$B$20*H27</f>
        <v>43750</v>
      </c>
      <c r="C27" s="16">
        <f t="shared" ref="C27:C33" si="15">$C$20*H27</f>
        <v>21875</v>
      </c>
      <c r="D27" s="16">
        <f t="shared" si="7"/>
        <v>21875</v>
      </c>
      <c r="E27" s="17">
        <f t="shared" si="7"/>
        <v>21875</v>
      </c>
      <c r="F27" s="17">
        <f t="shared" si="7"/>
        <v>21875</v>
      </c>
      <c r="G27" s="17">
        <f t="shared" si="7"/>
        <v>21875</v>
      </c>
      <c r="H27" s="50">
        <v>0.17499999999999999</v>
      </c>
      <c r="S27" s="17">
        <f t="shared" si="1"/>
        <v>21875</v>
      </c>
      <c r="T27" s="17">
        <f>$T$20*H27</f>
        <v>21875</v>
      </c>
    </row>
    <row r="28" spans="1:20" ht="45" hidden="1" customHeight="1" x14ac:dyDescent="0.4">
      <c r="A28" s="9" t="s">
        <v>9</v>
      </c>
      <c r="B28" s="16">
        <f t="shared" si="14"/>
        <v>3750</v>
      </c>
      <c r="C28" s="16">
        <f t="shared" si="15"/>
        <v>1875</v>
      </c>
      <c r="D28" s="16">
        <f t="shared" si="7"/>
        <v>1875</v>
      </c>
      <c r="E28" s="17">
        <f t="shared" si="7"/>
        <v>1875</v>
      </c>
      <c r="F28" s="17">
        <f t="shared" si="7"/>
        <v>1875</v>
      </c>
      <c r="G28" s="17">
        <f t="shared" si="7"/>
        <v>1875</v>
      </c>
      <c r="H28" s="40">
        <v>1.4999999999999999E-2</v>
      </c>
      <c r="S28" s="17">
        <f t="shared" si="1"/>
        <v>1875</v>
      </c>
      <c r="T28" s="17">
        <f t="shared" ref="T28:T33" si="16">$T$20*H28</f>
        <v>1875</v>
      </c>
    </row>
    <row r="29" spans="1:20" ht="45" hidden="1" customHeight="1" x14ac:dyDescent="0.4">
      <c r="A29" s="9" t="s">
        <v>10</v>
      </c>
      <c r="B29" s="16">
        <f t="shared" si="14"/>
        <v>37500</v>
      </c>
      <c r="C29" s="16">
        <f t="shared" si="15"/>
        <v>18750</v>
      </c>
      <c r="D29" s="16">
        <f t="shared" si="7"/>
        <v>18750</v>
      </c>
      <c r="E29" s="17">
        <f t="shared" si="7"/>
        <v>18750</v>
      </c>
      <c r="F29" s="17">
        <f t="shared" si="7"/>
        <v>18750</v>
      </c>
      <c r="G29" s="17">
        <f t="shared" si="7"/>
        <v>18750</v>
      </c>
      <c r="H29" s="40">
        <v>0.15</v>
      </c>
      <c r="S29" s="17">
        <f t="shared" si="1"/>
        <v>18750</v>
      </c>
      <c r="T29" s="17">
        <f t="shared" si="16"/>
        <v>18750</v>
      </c>
    </row>
    <row r="30" spans="1:20" ht="45" hidden="1" customHeight="1" x14ac:dyDescent="0.4">
      <c r="A30" s="9" t="s">
        <v>11</v>
      </c>
      <c r="B30" s="16">
        <f t="shared" si="14"/>
        <v>25000</v>
      </c>
      <c r="C30" s="16">
        <f t="shared" si="15"/>
        <v>12500</v>
      </c>
      <c r="D30" s="16">
        <f t="shared" si="7"/>
        <v>12500</v>
      </c>
      <c r="E30" s="17">
        <f t="shared" si="7"/>
        <v>12500</v>
      </c>
      <c r="F30" s="17">
        <f t="shared" si="7"/>
        <v>12500</v>
      </c>
      <c r="G30" s="17">
        <f t="shared" si="7"/>
        <v>12500</v>
      </c>
      <c r="H30" s="40">
        <v>0.1</v>
      </c>
      <c r="S30" s="17">
        <f t="shared" si="1"/>
        <v>12500</v>
      </c>
      <c r="T30" s="17">
        <f t="shared" si="16"/>
        <v>12500</v>
      </c>
    </row>
    <row r="31" spans="1:20" ht="45" hidden="1" customHeight="1" x14ac:dyDescent="0.4">
      <c r="A31" s="24" t="s">
        <v>15</v>
      </c>
      <c r="B31" s="16">
        <f t="shared" si="14"/>
        <v>10000</v>
      </c>
      <c r="C31" s="16">
        <f t="shared" si="15"/>
        <v>5000</v>
      </c>
      <c r="D31" s="16">
        <f t="shared" si="7"/>
        <v>5000</v>
      </c>
      <c r="E31" s="17">
        <f t="shared" si="7"/>
        <v>5000</v>
      </c>
      <c r="F31" s="17">
        <f t="shared" si="7"/>
        <v>5000</v>
      </c>
      <c r="G31" s="17">
        <f t="shared" si="7"/>
        <v>5000</v>
      </c>
      <c r="H31" s="40">
        <v>0.04</v>
      </c>
      <c r="S31" s="17">
        <f t="shared" si="1"/>
        <v>5000</v>
      </c>
      <c r="T31" s="17">
        <f t="shared" si="16"/>
        <v>5000</v>
      </c>
    </row>
    <row r="32" spans="1:20" ht="45" hidden="1" customHeight="1" x14ac:dyDescent="0.4">
      <c r="A32" s="24" t="s">
        <v>16</v>
      </c>
      <c r="B32" s="16">
        <f t="shared" si="14"/>
        <v>7500</v>
      </c>
      <c r="C32" s="16">
        <f t="shared" si="15"/>
        <v>3750</v>
      </c>
      <c r="D32" s="16">
        <f t="shared" si="7"/>
        <v>3750</v>
      </c>
      <c r="E32" s="17">
        <f t="shared" si="7"/>
        <v>3750</v>
      </c>
      <c r="F32" s="17">
        <f t="shared" si="7"/>
        <v>3750</v>
      </c>
      <c r="G32" s="17">
        <f t="shared" si="7"/>
        <v>3750</v>
      </c>
      <c r="H32" s="40">
        <v>0.03</v>
      </c>
      <c r="S32" s="17">
        <f t="shared" si="1"/>
        <v>3750</v>
      </c>
      <c r="T32" s="17">
        <f t="shared" si="16"/>
        <v>3750</v>
      </c>
    </row>
    <row r="33" spans="1:20" ht="45" hidden="1" customHeight="1" x14ac:dyDescent="0.4">
      <c r="A33" s="25" t="s">
        <v>17</v>
      </c>
      <c r="B33" s="16">
        <f t="shared" si="14"/>
        <v>3750</v>
      </c>
      <c r="C33" s="16">
        <f t="shared" si="15"/>
        <v>1875</v>
      </c>
      <c r="D33" s="16">
        <f t="shared" si="7"/>
        <v>1875</v>
      </c>
      <c r="E33" s="17">
        <f t="shared" si="7"/>
        <v>1875</v>
      </c>
      <c r="F33" s="17">
        <f t="shared" si="7"/>
        <v>1875</v>
      </c>
      <c r="G33" s="17">
        <f t="shared" si="7"/>
        <v>1875</v>
      </c>
      <c r="H33" s="40">
        <v>1.4999999999999999E-2</v>
      </c>
      <c r="S33" s="17">
        <f t="shared" si="1"/>
        <v>1875</v>
      </c>
      <c r="T33" s="17">
        <f t="shared" si="16"/>
        <v>1875</v>
      </c>
    </row>
    <row r="34" spans="1:20" ht="45" hidden="1" customHeight="1" x14ac:dyDescent="0.4">
      <c r="A34" s="9" t="s">
        <v>12</v>
      </c>
      <c r="B34" s="18">
        <f>SUM(B27:B33)</f>
        <v>131250</v>
      </c>
      <c r="C34" s="18">
        <f>SUM(C27:C33)</f>
        <v>65625</v>
      </c>
      <c r="D34" s="18">
        <f t="shared" si="7"/>
        <v>65625</v>
      </c>
      <c r="E34" s="19">
        <f t="shared" si="7"/>
        <v>65625</v>
      </c>
      <c r="F34" s="19">
        <f t="shared" si="7"/>
        <v>65625</v>
      </c>
      <c r="G34" s="19">
        <f t="shared" si="7"/>
        <v>65625</v>
      </c>
      <c r="H34" s="38"/>
      <c r="S34" s="19">
        <f t="shared" si="1"/>
        <v>65625</v>
      </c>
      <c r="T34" s="18">
        <f>SUM(T27:T33)</f>
        <v>65625</v>
      </c>
    </row>
    <row r="35" spans="1:20" ht="45" customHeight="1" x14ac:dyDescent="0.4">
      <c r="A35" s="51" t="s">
        <v>23</v>
      </c>
      <c r="B35" s="52">
        <f>IF(AND(B12="nem",B10="nem"),B20+B27+B28,IF(AND(B10="nem",B12="igen"),B20*1.12,B20))</f>
        <v>280000</v>
      </c>
      <c r="C35" s="52">
        <f>IFERROR(IF(AND(C12="nem",C10="nem"),C20+C27+C28,IF(AND(C10="nem",C12="igen"),C20*1.12,C20)),"")</f>
        <v>140000</v>
      </c>
      <c r="D35" s="52">
        <f>IFERROR(IF(AND(D12="nem",D10="nem"),D20+D27+D28,IF(AND(D10="nem",D12="igen"),D20*1.12,D20)),"")</f>
        <v>140000</v>
      </c>
      <c r="E35" s="53">
        <f>IF(E10="nem",E20+E27+E28,E20)</f>
        <v>221250</v>
      </c>
      <c r="F35" s="53">
        <f>IF(F10="nem",F20+F27+F28,F20)</f>
        <v>238750</v>
      </c>
      <c r="G35" s="53">
        <f>IF(G10="nem",G20+G27+G28,G20)</f>
        <v>207960.52631578947</v>
      </c>
      <c r="H35" s="56"/>
      <c r="S35" s="53">
        <f t="shared" si="1"/>
        <v>207960.52631578947</v>
      </c>
      <c r="T35" s="52">
        <f>IFERROR(IF(AND(T12="nem",T10="nem"),T20+T27+T28,IF(AND(T10="nem",T12="igen"),T20*1.12,T20)),"")</f>
        <v>140000</v>
      </c>
    </row>
    <row r="36" spans="1:20" ht="45" hidden="1" customHeight="1" x14ac:dyDescent="0.4">
      <c r="A36" s="9" t="s">
        <v>8</v>
      </c>
      <c r="B36" s="16">
        <f t="shared" ref="B36:B42" si="17">$B$20*H36</f>
        <v>0</v>
      </c>
      <c r="C36" s="16">
        <f t="shared" ref="C36:C42" si="18">$C$20*H36</f>
        <v>0</v>
      </c>
      <c r="D36" s="16">
        <f t="shared" si="7"/>
        <v>0</v>
      </c>
      <c r="E36" s="17">
        <f t="shared" si="7"/>
        <v>0</v>
      </c>
      <c r="F36" s="17">
        <f t="shared" si="7"/>
        <v>0</v>
      </c>
      <c r="G36" s="17">
        <f t="shared" si="7"/>
        <v>0</v>
      </c>
      <c r="H36" s="50"/>
      <c r="S36" s="17">
        <f t="shared" si="1"/>
        <v>0</v>
      </c>
      <c r="T36" s="17"/>
    </row>
    <row r="37" spans="1:20" ht="45" hidden="1" customHeight="1" x14ac:dyDescent="0.4">
      <c r="A37" s="9" t="s">
        <v>9</v>
      </c>
      <c r="B37" s="16">
        <f t="shared" si="17"/>
        <v>0</v>
      </c>
      <c r="C37" s="16">
        <f t="shared" si="18"/>
        <v>0</v>
      </c>
      <c r="D37" s="16">
        <f t="shared" si="7"/>
        <v>0</v>
      </c>
      <c r="E37" s="17">
        <f t="shared" si="7"/>
        <v>0</v>
      </c>
      <c r="F37" s="17">
        <f t="shared" si="7"/>
        <v>0</v>
      </c>
      <c r="G37" s="17">
        <f t="shared" si="7"/>
        <v>0</v>
      </c>
      <c r="H37" s="40"/>
      <c r="S37" s="17">
        <f t="shared" si="1"/>
        <v>0</v>
      </c>
      <c r="T37" s="17"/>
    </row>
    <row r="38" spans="1:20" ht="45" hidden="1" customHeight="1" x14ac:dyDescent="0.4">
      <c r="A38" s="9" t="s">
        <v>10</v>
      </c>
      <c r="B38" s="16">
        <f t="shared" si="17"/>
        <v>37500</v>
      </c>
      <c r="C38" s="16">
        <f t="shared" si="18"/>
        <v>18750</v>
      </c>
      <c r="D38" s="16">
        <f t="shared" si="7"/>
        <v>18750</v>
      </c>
      <c r="E38" s="17">
        <f t="shared" si="7"/>
        <v>18750</v>
      </c>
      <c r="F38" s="17">
        <f t="shared" si="7"/>
        <v>18750</v>
      </c>
      <c r="G38" s="17">
        <f t="shared" si="7"/>
        <v>18750</v>
      </c>
      <c r="H38" s="40">
        <v>0.15</v>
      </c>
      <c r="S38" s="17">
        <f t="shared" si="1"/>
        <v>18750</v>
      </c>
      <c r="T38" s="17">
        <f>T20*H38</f>
        <v>18750</v>
      </c>
    </row>
    <row r="39" spans="1:20" ht="45" hidden="1" customHeight="1" x14ac:dyDescent="0.4">
      <c r="A39" s="9" t="s">
        <v>11</v>
      </c>
      <c r="B39" s="16">
        <f t="shared" si="17"/>
        <v>0</v>
      </c>
      <c r="C39" s="16">
        <f t="shared" si="18"/>
        <v>0</v>
      </c>
      <c r="D39" s="16">
        <f t="shared" si="7"/>
        <v>0</v>
      </c>
      <c r="E39" s="17">
        <f t="shared" si="7"/>
        <v>0</v>
      </c>
      <c r="F39" s="17">
        <f t="shared" si="7"/>
        <v>0</v>
      </c>
      <c r="G39" s="17">
        <f t="shared" si="7"/>
        <v>0</v>
      </c>
      <c r="H39" s="40"/>
      <c r="S39" s="17">
        <f t="shared" si="1"/>
        <v>0</v>
      </c>
      <c r="T39" s="17"/>
    </row>
    <row r="40" spans="1:20" ht="45" hidden="1" customHeight="1" x14ac:dyDescent="0.4">
      <c r="A40" s="24" t="s">
        <v>15</v>
      </c>
      <c r="B40" s="16">
        <f t="shared" si="17"/>
        <v>0</v>
      </c>
      <c r="C40" s="16">
        <f t="shared" si="18"/>
        <v>0</v>
      </c>
      <c r="D40" s="16">
        <f t="shared" si="7"/>
        <v>0</v>
      </c>
      <c r="E40" s="17">
        <f t="shared" si="7"/>
        <v>0</v>
      </c>
      <c r="F40" s="17">
        <f t="shared" si="7"/>
        <v>0</v>
      </c>
      <c r="G40" s="17">
        <f t="shared" si="7"/>
        <v>0</v>
      </c>
      <c r="H40" s="40"/>
      <c r="S40" s="17">
        <f t="shared" si="1"/>
        <v>0</v>
      </c>
      <c r="T40" s="17"/>
    </row>
    <row r="41" spans="1:20" ht="45" hidden="1" customHeight="1" x14ac:dyDescent="0.4">
      <c r="A41" s="24" t="s">
        <v>16</v>
      </c>
      <c r="B41" s="16">
        <f t="shared" si="17"/>
        <v>0</v>
      </c>
      <c r="C41" s="16">
        <f t="shared" si="18"/>
        <v>0</v>
      </c>
      <c r="D41" s="16">
        <f t="shared" si="7"/>
        <v>0</v>
      </c>
      <c r="E41" s="17">
        <f t="shared" si="7"/>
        <v>0</v>
      </c>
      <c r="F41" s="17">
        <f t="shared" si="7"/>
        <v>0</v>
      </c>
      <c r="G41" s="17">
        <f t="shared" si="7"/>
        <v>0</v>
      </c>
      <c r="H41" s="40"/>
      <c r="S41" s="17">
        <f t="shared" si="1"/>
        <v>0</v>
      </c>
      <c r="T41" s="17"/>
    </row>
    <row r="42" spans="1:20" ht="45" hidden="1" customHeight="1" x14ac:dyDescent="0.4">
      <c r="A42" s="25" t="s">
        <v>17</v>
      </c>
      <c r="B42" s="16">
        <f t="shared" si="17"/>
        <v>0</v>
      </c>
      <c r="C42" s="16">
        <f t="shared" si="18"/>
        <v>0</v>
      </c>
      <c r="D42" s="16">
        <f t="shared" si="7"/>
        <v>0</v>
      </c>
      <c r="E42" s="17">
        <f t="shared" si="7"/>
        <v>0</v>
      </c>
      <c r="F42" s="17">
        <f t="shared" si="7"/>
        <v>0</v>
      </c>
      <c r="G42" s="17">
        <f t="shared" si="7"/>
        <v>0</v>
      </c>
      <c r="H42" s="40"/>
      <c r="S42" s="17">
        <f t="shared" si="1"/>
        <v>0</v>
      </c>
      <c r="T42" s="17"/>
    </row>
    <row r="43" spans="1:20" ht="45" hidden="1" customHeight="1" x14ac:dyDescent="0.4">
      <c r="A43" s="9" t="s">
        <v>12</v>
      </c>
      <c r="B43" s="18">
        <f>SUM(B36:B42)</f>
        <v>37500</v>
      </c>
      <c r="C43" s="18">
        <f>SUM(C36:C42)</f>
        <v>18750</v>
      </c>
      <c r="D43" s="18">
        <f t="shared" si="7"/>
        <v>18750</v>
      </c>
      <c r="E43" s="19">
        <f t="shared" si="7"/>
        <v>18750</v>
      </c>
      <c r="F43" s="19">
        <f t="shared" si="7"/>
        <v>18750</v>
      </c>
      <c r="G43" s="19">
        <f t="shared" si="7"/>
        <v>18750</v>
      </c>
      <c r="H43" s="38"/>
      <c r="S43" s="19">
        <f t="shared" si="1"/>
        <v>18750</v>
      </c>
      <c r="T43" s="19"/>
    </row>
    <row r="44" spans="1:20" ht="45" customHeight="1" x14ac:dyDescent="0.4">
      <c r="A44" s="31" t="s">
        <v>21</v>
      </c>
      <c r="B44" s="54"/>
      <c r="C44" s="54">
        <f>IFERROR(B35-C35,"")</f>
        <v>140000</v>
      </c>
      <c r="D44" s="54">
        <f>IFERROR(B35-D35,"")</f>
        <v>140000</v>
      </c>
      <c r="E44" s="54">
        <f t="shared" ref="E44:G44" si="19">$B$35-E35</f>
        <v>58750</v>
      </c>
      <c r="F44" s="54">
        <f t="shared" si="19"/>
        <v>41250</v>
      </c>
      <c r="G44" s="54">
        <f t="shared" si="19"/>
        <v>72039.473684210534</v>
      </c>
      <c r="H44" s="38"/>
      <c r="S44" s="54">
        <f t="shared" si="1"/>
        <v>72039.473684210534</v>
      </c>
      <c r="T44" s="54">
        <f>IFERROR(B35-T35,"")</f>
        <v>140000</v>
      </c>
    </row>
  </sheetData>
  <sheetProtection algorithmName="SHA-512" hashValue="PkSA9Q6H3STXeG0WEcuNUBhfkVMWysAsKAfo0BOtxXpqloPxN3LxD/ihEVJeocYXNSUTGae+eUhcbvpv5+NpRA==" saltValue="jDItKgKFloq19tWxGhvZqQ==" spinCount="100000" sheet="1" objects="1" scenarios="1" autoFilter="0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Segéd!$A$2:$A$9</xm:f>
          </x14:formula1>
          <xm:sqref>B9</xm:sqref>
        </x14:dataValidation>
        <x14:dataValidation type="list" allowBlank="1" showInputMessage="1" showErrorMessage="1">
          <x14:formula1>
            <xm:f>Segéd!$A$1:$A$8</xm:f>
          </x14:formula1>
          <xm:sqref>C9</xm:sqref>
        </x14:dataValidation>
        <x14:dataValidation type="list" allowBlank="1" showInputMessage="1" showErrorMessage="1">
          <x14:formula1>
            <xm:f>Segéd!$C$1:$C$2</xm:f>
          </x14:formula1>
          <xm:sqref>B10 B12:B13</xm:sqref>
        </x14:dataValidation>
        <x14:dataValidation type="list" allowBlank="1" showInputMessage="1" showErrorMessage="1">
          <x14:formula1>
            <xm:f>Segéd!$D$1:$D$71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A2" sqref="A2"/>
    </sheetView>
  </sheetViews>
  <sheetFormatPr defaultColWidth="21.77734375" defaultRowHeight="14.4" x14ac:dyDescent="0.3"/>
  <cols>
    <col min="3" max="3" width="18.77734375" customWidth="1"/>
    <col min="4" max="4" width="20.6640625" customWidth="1"/>
  </cols>
  <sheetData>
    <row r="1" spans="1:10" ht="57.6" x14ac:dyDescent="0.3">
      <c r="A1" s="96" t="s">
        <v>38</v>
      </c>
      <c r="B1" s="97" t="s">
        <v>39</v>
      </c>
      <c r="C1" s="97" t="s">
        <v>40</v>
      </c>
      <c r="D1" s="98" t="s">
        <v>41</v>
      </c>
      <c r="E1" s="99" t="s">
        <v>42</v>
      </c>
      <c r="F1" s="100" t="s">
        <v>43</v>
      </c>
      <c r="G1" s="101" t="s">
        <v>44</v>
      </c>
      <c r="H1" s="101" t="s">
        <v>45</v>
      </c>
      <c r="I1" s="102" t="s">
        <v>46</v>
      </c>
      <c r="J1" s="102" t="s">
        <v>47</v>
      </c>
    </row>
    <row r="2" spans="1:10" ht="15" thickBot="1" x14ac:dyDescent="0.35">
      <c r="A2" s="103">
        <f>'Támogatáshoz kalkuláció'!B21</f>
        <v>166250</v>
      </c>
      <c r="B2" s="104">
        <f>'Támogatáshoz kalkuláció'!B9</f>
        <v>8</v>
      </c>
      <c r="C2" s="104">
        <f>'Támogatáshoz kalkuláció'!B9</f>
        <v>8</v>
      </c>
      <c r="D2" s="105">
        <f>'Támogatáshoz kalkuláció'!D9</f>
        <v>4</v>
      </c>
      <c r="E2" s="114">
        <f>(B2-D2)/B2</f>
        <v>0.5</v>
      </c>
      <c r="F2" s="107" t="str">
        <f>+IF(D2&lt;=C2, "Érvényes munkaidő csökkentés","A támogatás igénybevétele ideje alatt érvényes munkaidő nem haladhatja meg a kérelem beadásakor érvényes munkaidőt")</f>
        <v>Érvényes munkaidő csökkentés</v>
      </c>
      <c r="G2" s="108" t="str">
        <f>IF(D2/B2&gt;0.85,"A támogatás igénybevétele ideje alatt érvényes munkaidő nem haladhatja meg a veszélyhelyzet kihirdetésekor érvényes munkaidő 85%-át","Támogatható")</f>
        <v>Támogatható</v>
      </c>
      <c r="H2" s="108" t="str">
        <f>IF(D2/B2&lt;0.25,"A támogatás igénybevétele ideje alatt érvényes munkaidő nem lehet kevesebb a veszélyhelyzet kihirdetésekor érvényes munkaidő 25%-ánál","Támogatható")</f>
        <v>Támogatható</v>
      </c>
      <c r="I2" s="109">
        <f>A2*D2/C2</f>
        <v>83125</v>
      </c>
      <c r="J2" s="109">
        <f>'Támogatáshoz kalkuláció'!D23</f>
        <v>58187.499999999993</v>
      </c>
    </row>
    <row r="3" spans="1:10" x14ac:dyDescent="0.3">
      <c r="A3" s="103"/>
      <c r="B3" s="104"/>
      <c r="C3" s="104"/>
      <c r="D3" s="105"/>
      <c r="E3" s="106"/>
      <c r="F3" s="107"/>
      <c r="G3" s="108"/>
      <c r="H3" s="108"/>
      <c r="I3" s="110"/>
      <c r="J3" s="109"/>
    </row>
    <row r="4" spans="1:10" x14ac:dyDescent="0.3">
      <c r="A4" s="103"/>
      <c r="B4" s="104"/>
      <c r="C4" s="104"/>
      <c r="D4" s="105"/>
      <c r="E4" s="106"/>
      <c r="F4" s="107"/>
      <c r="G4" s="108"/>
      <c r="H4" s="108"/>
      <c r="I4" s="110"/>
      <c r="J4" s="109"/>
    </row>
    <row r="5" spans="1:10" ht="15" thickBot="1" x14ac:dyDescent="0.35">
      <c r="A5" s="111"/>
      <c r="B5" s="112"/>
      <c r="C5" s="112"/>
      <c r="D5" s="113"/>
      <c r="E5" s="114"/>
      <c r="F5" s="115"/>
      <c r="G5" s="116"/>
      <c r="H5" s="116"/>
      <c r="I5" s="117"/>
      <c r="J5" s="1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F1" workbookViewId="0">
      <selection activeCell="K3" sqref="K3"/>
    </sheetView>
  </sheetViews>
  <sheetFormatPr defaultRowHeight="14.4" x14ac:dyDescent="0.3"/>
  <cols>
    <col min="1" max="5" width="8.88671875" hidden="1" customWidth="1"/>
  </cols>
  <sheetData>
    <row r="1" spans="1:5" x14ac:dyDescent="0.3">
      <c r="A1">
        <v>1</v>
      </c>
      <c r="B1">
        <f t="shared" ref="B1:B6" si="0">$B$8/$A$8*A1</f>
        <v>22</v>
      </c>
      <c r="C1" t="s">
        <v>18</v>
      </c>
      <c r="D1">
        <v>1</v>
      </c>
      <c r="E1" s="28">
        <v>0.3</v>
      </c>
    </row>
    <row r="2" spans="1:5" x14ac:dyDescent="0.3">
      <c r="A2">
        <v>2</v>
      </c>
      <c r="B2">
        <f t="shared" si="0"/>
        <v>44</v>
      </c>
      <c r="C2" t="s">
        <v>19</v>
      </c>
      <c r="D2">
        <v>1.1000000000000001</v>
      </c>
      <c r="E2" s="28">
        <v>0.4</v>
      </c>
    </row>
    <row r="3" spans="1:5" x14ac:dyDescent="0.3">
      <c r="A3">
        <v>3</v>
      </c>
      <c r="B3">
        <f t="shared" si="0"/>
        <v>66</v>
      </c>
      <c r="D3">
        <v>1.2</v>
      </c>
      <c r="E3" s="28">
        <v>0.5</v>
      </c>
    </row>
    <row r="4" spans="1:5" x14ac:dyDescent="0.3">
      <c r="A4">
        <v>4</v>
      </c>
      <c r="B4">
        <f t="shared" si="0"/>
        <v>88</v>
      </c>
      <c r="D4">
        <v>1.3</v>
      </c>
      <c r="E4" s="28"/>
    </row>
    <row r="5" spans="1:5" x14ac:dyDescent="0.3">
      <c r="A5">
        <v>5</v>
      </c>
      <c r="B5">
        <f t="shared" si="0"/>
        <v>110</v>
      </c>
      <c r="D5">
        <v>1.4</v>
      </c>
    </row>
    <row r="6" spans="1:5" x14ac:dyDescent="0.3">
      <c r="A6">
        <v>6</v>
      </c>
      <c r="B6">
        <f t="shared" si="0"/>
        <v>132</v>
      </c>
      <c r="D6">
        <v>1.5</v>
      </c>
    </row>
    <row r="7" spans="1:5" x14ac:dyDescent="0.3">
      <c r="A7">
        <v>7</v>
      </c>
      <c r="B7">
        <f>$B$8/$A$8*A7</f>
        <v>154</v>
      </c>
      <c r="D7">
        <v>1.6</v>
      </c>
    </row>
    <row r="8" spans="1:5" x14ac:dyDescent="0.3">
      <c r="A8">
        <v>8</v>
      </c>
      <c r="B8">
        <v>176</v>
      </c>
      <c r="D8">
        <v>1.7</v>
      </c>
    </row>
    <row r="9" spans="1:5" x14ac:dyDescent="0.3">
      <c r="D9">
        <v>1.8</v>
      </c>
    </row>
    <row r="10" spans="1:5" x14ac:dyDescent="0.3">
      <c r="D10">
        <v>1.9</v>
      </c>
    </row>
    <row r="11" spans="1:5" x14ac:dyDescent="0.3">
      <c r="D11">
        <v>2</v>
      </c>
    </row>
    <row r="12" spans="1:5" x14ac:dyDescent="0.3">
      <c r="D12">
        <v>2.1</v>
      </c>
    </row>
    <row r="13" spans="1:5" x14ac:dyDescent="0.3">
      <c r="D13">
        <v>2.2000000000000002</v>
      </c>
    </row>
    <row r="14" spans="1:5" x14ac:dyDescent="0.3">
      <c r="D14">
        <v>2.2999999999999998</v>
      </c>
    </row>
    <row r="15" spans="1:5" x14ac:dyDescent="0.3">
      <c r="D15">
        <v>2.4</v>
      </c>
    </row>
    <row r="16" spans="1:5" x14ac:dyDescent="0.3">
      <c r="D16">
        <v>2.5</v>
      </c>
    </row>
    <row r="17" spans="4:4" x14ac:dyDescent="0.3">
      <c r="D17">
        <v>2.6</v>
      </c>
    </row>
    <row r="18" spans="4:4" x14ac:dyDescent="0.3">
      <c r="D18">
        <v>2.7</v>
      </c>
    </row>
    <row r="19" spans="4:4" x14ac:dyDescent="0.3">
      <c r="D19">
        <v>2.8</v>
      </c>
    </row>
    <row r="20" spans="4:4" x14ac:dyDescent="0.3">
      <c r="D20">
        <v>2.9</v>
      </c>
    </row>
    <row r="21" spans="4:4" x14ac:dyDescent="0.3">
      <c r="D21">
        <v>3</v>
      </c>
    </row>
    <row r="22" spans="4:4" x14ac:dyDescent="0.3">
      <c r="D22">
        <v>3.1</v>
      </c>
    </row>
    <row r="23" spans="4:4" x14ac:dyDescent="0.3">
      <c r="D23">
        <v>3.2</v>
      </c>
    </row>
    <row r="24" spans="4:4" x14ac:dyDescent="0.3">
      <c r="D24">
        <v>3.3</v>
      </c>
    </row>
    <row r="25" spans="4:4" x14ac:dyDescent="0.3">
      <c r="D25">
        <v>3.4</v>
      </c>
    </row>
    <row r="26" spans="4:4" x14ac:dyDescent="0.3">
      <c r="D26">
        <v>3.5</v>
      </c>
    </row>
    <row r="27" spans="4:4" x14ac:dyDescent="0.3">
      <c r="D27">
        <v>3.6</v>
      </c>
    </row>
    <row r="28" spans="4:4" x14ac:dyDescent="0.3">
      <c r="D28">
        <v>3.7</v>
      </c>
    </row>
    <row r="29" spans="4:4" x14ac:dyDescent="0.3">
      <c r="D29">
        <v>3.8</v>
      </c>
    </row>
    <row r="30" spans="4:4" x14ac:dyDescent="0.3">
      <c r="D30">
        <v>3.9</v>
      </c>
    </row>
    <row r="31" spans="4:4" x14ac:dyDescent="0.3">
      <c r="D31">
        <v>4</v>
      </c>
    </row>
    <row r="32" spans="4:4" x14ac:dyDescent="0.3">
      <c r="D32">
        <v>4.0999999999999996</v>
      </c>
    </row>
    <row r="33" spans="4:4" x14ac:dyDescent="0.3">
      <c r="D33">
        <v>4.2</v>
      </c>
    </row>
    <row r="34" spans="4:4" x14ac:dyDescent="0.3">
      <c r="D34">
        <v>4.3</v>
      </c>
    </row>
    <row r="35" spans="4:4" x14ac:dyDescent="0.3">
      <c r="D35">
        <v>4.4000000000000004</v>
      </c>
    </row>
    <row r="36" spans="4:4" x14ac:dyDescent="0.3">
      <c r="D36">
        <v>4.5</v>
      </c>
    </row>
    <row r="37" spans="4:4" x14ac:dyDescent="0.3">
      <c r="D37">
        <v>4.5999999999999996</v>
      </c>
    </row>
    <row r="38" spans="4:4" x14ac:dyDescent="0.3">
      <c r="D38">
        <v>4.7</v>
      </c>
    </row>
    <row r="39" spans="4:4" x14ac:dyDescent="0.3">
      <c r="D39">
        <v>4.8</v>
      </c>
    </row>
    <row r="40" spans="4:4" x14ac:dyDescent="0.3">
      <c r="D40">
        <v>4.9000000000000004</v>
      </c>
    </row>
    <row r="41" spans="4:4" x14ac:dyDescent="0.3">
      <c r="D41">
        <v>5</v>
      </c>
    </row>
    <row r="42" spans="4:4" x14ac:dyDescent="0.3">
      <c r="D42">
        <v>5.0999999999999996</v>
      </c>
    </row>
    <row r="43" spans="4:4" x14ac:dyDescent="0.3">
      <c r="D43">
        <v>5.2</v>
      </c>
    </row>
    <row r="44" spans="4:4" x14ac:dyDescent="0.3">
      <c r="D44">
        <v>5.3</v>
      </c>
    </row>
    <row r="45" spans="4:4" x14ac:dyDescent="0.3">
      <c r="D45">
        <v>5.4</v>
      </c>
    </row>
    <row r="46" spans="4:4" x14ac:dyDescent="0.3">
      <c r="D46">
        <v>5.5</v>
      </c>
    </row>
    <row r="47" spans="4:4" x14ac:dyDescent="0.3">
      <c r="D47">
        <v>5.6</v>
      </c>
    </row>
    <row r="48" spans="4:4" x14ac:dyDescent="0.3">
      <c r="D48">
        <v>5.7</v>
      </c>
    </row>
    <row r="49" spans="4:4" x14ac:dyDescent="0.3">
      <c r="D49">
        <v>5.8</v>
      </c>
    </row>
    <row r="50" spans="4:4" x14ac:dyDescent="0.3">
      <c r="D50">
        <v>5.9</v>
      </c>
    </row>
    <row r="51" spans="4:4" x14ac:dyDescent="0.3">
      <c r="D51">
        <v>6</v>
      </c>
    </row>
    <row r="52" spans="4:4" x14ac:dyDescent="0.3">
      <c r="D52">
        <v>6.1</v>
      </c>
    </row>
    <row r="53" spans="4:4" x14ac:dyDescent="0.3">
      <c r="D53">
        <v>6.2</v>
      </c>
    </row>
    <row r="54" spans="4:4" x14ac:dyDescent="0.3">
      <c r="D54">
        <v>6.3</v>
      </c>
    </row>
    <row r="55" spans="4:4" x14ac:dyDescent="0.3">
      <c r="D55">
        <v>6.4</v>
      </c>
    </row>
    <row r="56" spans="4:4" x14ac:dyDescent="0.3">
      <c r="D56">
        <v>6.5</v>
      </c>
    </row>
    <row r="57" spans="4:4" x14ac:dyDescent="0.3">
      <c r="D57">
        <v>6.6</v>
      </c>
    </row>
    <row r="58" spans="4:4" x14ac:dyDescent="0.3">
      <c r="D58">
        <v>6.7</v>
      </c>
    </row>
    <row r="59" spans="4:4" x14ac:dyDescent="0.3">
      <c r="D59">
        <v>6.8</v>
      </c>
    </row>
    <row r="60" spans="4:4" x14ac:dyDescent="0.3">
      <c r="D60">
        <v>6.9</v>
      </c>
    </row>
    <row r="61" spans="4:4" x14ac:dyDescent="0.3">
      <c r="D61">
        <v>7</v>
      </c>
    </row>
    <row r="62" spans="4:4" x14ac:dyDescent="0.3">
      <c r="D62">
        <v>7.1</v>
      </c>
    </row>
    <row r="63" spans="4:4" x14ac:dyDescent="0.3">
      <c r="D63">
        <v>7.2</v>
      </c>
    </row>
    <row r="64" spans="4:4" x14ac:dyDescent="0.3">
      <c r="D64">
        <v>7.3</v>
      </c>
    </row>
    <row r="65" spans="4:4" x14ac:dyDescent="0.3">
      <c r="D65">
        <v>7.4</v>
      </c>
    </row>
    <row r="66" spans="4:4" x14ac:dyDescent="0.3">
      <c r="D66">
        <v>7.5</v>
      </c>
    </row>
    <row r="67" spans="4:4" x14ac:dyDescent="0.3">
      <c r="D67">
        <v>7.6</v>
      </c>
    </row>
    <row r="68" spans="4:4" x14ac:dyDescent="0.3">
      <c r="D68">
        <v>7.7</v>
      </c>
    </row>
    <row r="69" spans="4:4" x14ac:dyDescent="0.3">
      <c r="D69">
        <v>7.8</v>
      </c>
    </row>
    <row r="70" spans="4:4" x14ac:dyDescent="0.3">
      <c r="D70">
        <v>7.9</v>
      </c>
    </row>
    <row r="71" spans="4:4" x14ac:dyDescent="0.3">
      <c r="D71">
        <v>8</v>
      </c>
    </row>
  </sheetData>
  <sheetProtection algorithmName="SHA-512" hashValue="VEj8tz1ea7HCaGOwoBRkwzBv4L36Z5DJzD0+GkynwXuLMJLqXP5oAGnibWWpwCL9ms062gzRED6TxTFKQtSebg==" saltValue="BMI6CnpULsaCZwpGZN9FP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Támogatáshoz kalkuláció</vt:lpstr>
      <vt:lpstr>KÉRELEMBEN SZEREPLŐ TÁBLÁZATOK</vt:lpstr>
      <vt:lpstr>Segéd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Sándor Balázs</dc:creator>
  <cp:lastModifiedBy>Sándor Balázs</cp:lastModifiedBy>
  <dcterms:created xsi:type="dcterms:W3CDTF">2020-04-12T08:48:11Z</dcterms:created>
  <dcterms:modified xsi:type="dcterms:W3CDTF">2020-04-29T06:21:43Z</dcterms:modified>
</cp:coreProperties>
</file>